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500" windowHeight="10440" tabRatio="658" activeTab="0"/>
  </bookViews>
  <sheets>
    <sheet name="CALCULADORA TIV V-1" sheetId="1" r:id="rId1"/>
    <sheet name="Características" sheetId="2" state="hidden" r:id="rId2"/>
    <sheet name="Flujos" sheetId="3" r:id="rId3"/>
    <sheet name="Tabla de Amortizacion" sheetId="4" state="hidden" r:id="rId4"/>
    <sheet name="Exclusión" sheetId="5" r:id="rId5"/>
    <sheet name="Tablas" sheetId="6" state="hidden" r:id="rId6"/>
  </sheets>
  <definedNames>
    <definedName name="_xlfn.SINGLE" hidden="1">#NAME?</definedName>
  </definedNames>
  <calcPr fullCalcOnLoad="1"/>
</workbook>
</file>

<file path=xl/sharedStrings.xml><?xml version="1.0" encoding="utf-8"?>
<sst xmlns="http://schemas.openxmlformats.org/spreadsheetml/2006/main" count="103" uniqueCount="87">
  <si>
    <t>FECHA</t>
  </si>
  <si>
    <t>Tabla de Amortización Valoración</t>
  </si>
  <si>
    <t>Serie</t>
  </si>
  <si>
    <t>Días corridos</t>
  </si>
  <si>
    <t>Fecha de liquidación</t>
  </si>
  <si>
    <t>Fecha último pago cupón</t>
  </si>
  <si>
    <t>Valor Par</t>
  </si>
  <si>
    <t>Próximo pago de interés</t>
  </si>
  <si>
    <t>Días entre flujos</t>
  </si>
  <si>
    <t>Cupón corrido</t>
  </si>
  <si>
    <t>VPN</t>
  </si>
  <si>
    <t>Precio limpio</t>
  </si>
  <si>
    <t>Nemo MEC</t>
  </si>
  <si>
    <t>Emisión</t>
  </si>
  <si>
    <t>Vencimiento contractual</t>
  </si>
  <si>
    <t>Cupón EA</t>
  </si>
  <si>
    <t>Moneda</t>
  </si>
  <si>
    <t>COP</t>
  </si>
  <si>
    <t>Control</t>
  </si>
  <si>
    <t>Mes inicial</t>
  </si>
  <si>
    <t>Contractual</t>
  </si>
  <si>
    <t>Valoración</t>
  </si>
  <si>
    <t>Días iniciales</t>
  </si>
  <si>
    <t>Nominal</t>
  </si>
  <si>
    <t>Contravalor</t>
  </si>
  <si>
    <t>Precio unitario</t>
  </si>
  <si>
    <t>Cálculo de tasa y precio sucio a partir del limpio</t>
  </si>
  <si>
    <t>Precio sucio MEC</t>
  </si>
  <si>
    <t>Precio sucio modelo</t>
  </si>
  <si>
    <t>Diferencia</t>
  </si>
  <si>
    <t>Tasa de descuento equivalente</t>
  </si>
  <si>
    <t>Tasa de descuento</t>
  </si>
  <si>
    <t>Factor Saldo</t>
  </si>
  <si>
    <t>Factor Capital</t>
  </si>
  <si>
    <t>Factor Intereses</t>
  </si>
  <si>
    <t>Factor Total</t>
  </si>
  <si>
    <t>Totales</t>
  </si>
  <si>
    <t>Cálculo de precio limpio y sucio a partir de tasa</t>
  </si>
  <si>
    <t>6% (Medio)</t>
  </si>
  <si>
    <t>10% (Medio Alto)</t>
  </si>
  <si>
    <t>14% (Alto)</t>
  </si>
  <si>
    <t>Escenario de Amortización Contractual</t>
  </si>
  <si>
    <t>Escenario de Prepago  6% (Medio)</t>
  </si>
  <si>
    <t>Escenario de Prepago  10% (Medio Alto)</t>
  </si>
  <si>
    <t>Escenario de Prepago  14% (Alto)</t>
  </si>
  <si>
    <t>Escenario de Prepago  20%</t>
  </si>
  <si>
    <t>ISIN</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</si>
  <si>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</si>
  <si>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Volver</t>
  </si>
  <si>
    <t>Titularizadora Colombiana S.A. releases this document strictly for the investors' information purposes. Although the data included here come from sources deemed as trustable by the company, Titularizadora Colombiana S.A. does not guarantee their accuracy. In no case its content may be considered as a financial or legal opinion nor as a business or investment recommendation by the company. Neither may it be considered as an invitation to do business or as an offer to buy or sell any kind of security. In any case, Titularizadora Colombiana S.A. is not responsible for the investment decisions made, or the result of any operation carried out by the addressees or any third parties based on the information contained in this document. Such responsibility falls exclusively on the investors that use such information. Variations may happen after the release of such information, therefore Titularizadora Colombiana S.A. reserves the right to change or update them at any time and without notice.</t>
  </si>
  <si>
    <t>Fecha / Date</t>
  </si>
  <si>
    <t>Días 365 / Days 365</t>
  </si>
  <si>
    <t>Amortización / Amortization</t>
  </si>
  <si>
    <t>Saldo / Balance</t>
  </si>
  <si>
    <t>Flujo de Capital / Principal Flow</t>
  </si>
  <si>
    <t>Flujo de Intereses / Interest Flow</t>
  </si>
  <si>
    <t>Flujo Total /       Total Flow</t>
  </si>
  <si>
    <t>Serie Seleccionada  / Selected Tranche</t>
  </si>
  <si>
    <t xml:space="preserve">Fecha de liquidación / Settlement Date </t>
  </si>
  <si>
    <t xml:space="preserve">Características / Characteristics </t>
  </si>
  <si>
    <t>Cálculo de precio y rentabilidad / Price and Yield Calculation</t>
  </si>
  <si>
    <t xml:space="preserve">Nemotécnico MEC </t>
  </si>
  <si>
    <t>Fecha de Emisión / Issue Date</t>
  </si>
  <si>
    <t>Vencimiento Contractual / Contractual Maturity Date</t>
  </si>
  <si>
    <t>Tasa Facial Efectiva Anual / Effective Coupon Rate</t>
  </si>
  <si>
    <t xml:space="preserve">Tasa Facial Nominal Anual / Nominal Coupon Rate </t>
  </si>
  <si>
    <t>Moneda / Currency</t>
  </si>
  <si>
    <t xml:space="preserve">Vida Media Restante / Average Life </t>
  </si>
  <si>
    <t>Vida Media desde Emisión / Average Life since Issue</t>
  </si>
  <si>
    <t xml:space="preserve">Duración Macaulay / Macaulay Duration </t>
  </si>
  <si>
    <t xml:space="preserve">Duración Modificada / Modified Duration </t>
  </si>
  <si>
    <t>Nominal Inicial / Nominal Initial Value</t>
  </si>
  <si>
    <t>Escenario de Prepagos / Prepayment Scenario</t>
  </si>
  <si>
    <t>Tasa de Descuento EA / Discount Rate EA</t>
  </si>
  <si>
    <t xml:space="preserve">Precio Limpio / Clean Price </t>
  </si>
  <si>
    <t xml:space="preserve">Precio Sucio / Dirty Price </t>
  </si>
  <si>
    <t>Vencimiento Estimado / Estimated Maturity</t>
  </si>
  <si>
    <t>Restante por 100 de Inicial / Outstanding Amount for 100 Initial Amount</t>
  </si>
  <si>
    <t>Nominal Restante a transar / Nominal Amount Outstanding to Trade</t>
  </si>
  <si>
    <t>Contravalor (Valoración) / Market Value (Valuation)</t>
  </si>
  <si>
    <t xml:space="preserve">Celdas modificables / Modifiable Cells </t>
  </si>
  <si>
    <t>Exclusión de responsabilidad / Disclaimer</t>
  </si>
  <si>
    <r>
      <t>20%</t>
    </r>
    <r>
      <rPr>
        <sz val="10"/>
        <color indexed="9"/>
        <rFont val="Tahoma"/>
        <family val="2"/>
      </rPr>
      <t>_</t>
    </r>
  </si>
  <si>
    <t>CALCULADORA DE PRECIOS TIV V-1 / PRICE CALCULATOR TIV V-1</t>
  </si>
  <si>
    <t>TIV V-1 2024</t>
  </si>
  <si>
    <t>TIVAV1200924</t>
  </si>
  <si>
    <t>COT80CH02779</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</si>
</sst>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 #,##0_ ;_ * \-#,##0_ ;_ * &quot;-&quot;_ ;_ @_ "/>
    <numFmt numFmtId="173" formatCode="_ * #,##0.00_ ;_ * \-#,##0.00_ ;_ * &quot;-&quot;??_ ;_ @_ "/>
    <numFmt numFmtId="174" formatCode="_-* #,##0\ &quot;pta&quot;_-;\-* #,##0\ &quot;pta&quot;_-;_-* &quot;-&quot;\ &quot;pta&quot;_-;_-@_-"/>
    <numFmt numFmtId="175" formatCode="_-* #,##0\ _p_t_a_-;\-* #,##0\ _p_t_a_-;_-* &quot;-&quot;\ _p_t_a_-;_-@_-"/>
    <numFmt numFmtId="176" formatCode="_-* #,##0.00\ &quot;pta&quot;_-;\-* #,##0.00\ &quot;pta&quot;_-;_-* &quot;-&quot;??\ &quot;pta&quot;_-;_-@_-"/>
    <numFmt numFmtId="177" formatCode="_-* #,##0.00\ _p_t_a_-;\-* #,##0.00\ _p_t_a_-;_-* &quot;-&quot;??\ _p_t_a_-;_-@_-"/>
    <numFmt numFmtId="178" formatCode="0.00000%"/>
    <numFmt numFmtId="179" formatCode="0.000%"/>
    <numFmt numFmtId="180" formatCode="_ * #,##0_ ;_ * \-#,##0_ ;_ * &quot;-&quot;??_ ;_ @_ "/>
    <numFmt numFmtId="181" formatCode="0.000000000%"/>
    <numFmt numFmtId="182" formatCode="0.0000000%"/>
    <numFmt numFmtId="183" formatCode="#,##0.000000_ ;\-#,##0.000000\ "/>
    <numFmt numFmtId="184" formatCode="#,##0.000_ ;\-#,##0.000\ "/>
    <numFmt numFmtId="185" formatCode="_-* #,##0\ _p_t_a_-;\-* #,##0\ _p_t_a_-;_-* &quot;-&quot;??\ _p_t_a_-;_-@_-"/>
    <numFmt numFmtId="186" formatCode="0.000000%"/>
    <numFmt numFmtId="187" formatCode="_ * #,##0.000_ ;_ * \-#,##0.000_ ;_ * &quot;-&quot;??_ ;_ @_ "/>
    <numFmt numFmtId="188" formatCode="_ * #,##0.0000_ ;_ * \-#,##0.0000_ ;_ * &quot;-&quot;??_ ;_ @_ "/>
    <numFmt numFmtId="189" formatCode="_ * #,##0.00000_ ;_ * \-#,##0.00000_ ;_ * &quot;-&quot;??_ ;_ @_ "/>
    <numFmt numFmtId="190" formatCode="_ * #,##0.000000_ ;_ * \-#,##0.000000_ ;_ * &quot;-&quot;??_ ;_ @_ "/>
    <numFmt numFmtId="191" formatCode="#,##0_ ;\-#,##0\ "/>
    <numFmt numFmtId="192" formatCode="_ * #,##0.0000_ ;_ * \-#,##0.0000_ ;_ * &quot;-&quot;????_ ;_ @_ "/>
    <numFmt numFmtId="193" formatCode="0.000000000000%"/>
    <numFmt numFmtId="194" formatCode="0.0000000000000%"/>
    <numFmt numFmtId="195" formatCode="_ &quot;$&quot;\ * #,##0.00_ ;_ &quot;$&quot;\ * \-#,##0.00_ ;_ &quot;$&quot;\ * &quot;-&quot;??_ ;_ @_ "/>
    <numFmt numFmtId="196" formatCode="_-&quot;$&quot;* #,##0_-;\-&quot;$&quot;* #,##0_-;_-&quot;$&quot;* &quot;-&quot;_-;_-@_-"/>
    <numFmt numFmtId="197" formatCode="[$-409]mmmm\ d\,\ yyyy;@"/>
    <numFmt numFmtId="198" formatCode="[$-240A]d&quot; de &quot;mmmm&quot; de &quot;yyyy;@"/>
    <numFmt numFmtId="199" formatCode="&quot;$&quot;\ #,##0;[Red]&quot;$&quot;\ \-#,##0"/>
    <numFmt numFmtId="200" formatCode="dd\ &quot;de&quot;\ mmmm"/>
    <numFmt numFmtId="201" formatCode="_ &quot;$&quot;\ * #,##0_ ;_ &quot;$&quot;\ * \-#,##0_ ;_ &quot;$&quot;\ * &quot;-&quot;_ ;_ @_ "/>
    <numFmt numFmtId="202" formatCode="0.00000000000%"/>
    <numFmt numFmtId="203" formatCode="d/mm/yyyy;@"/>
    <numFmt numFmtId="204" formatCode="&quot;Sí&quot;;&quot;Sí&quot;;&quot;No&quot;"/>
    <numFmt numFmtId="205" formatCode="&quot;Verdadero&quot;;&quot;Verdadero&quot;;&quot;Falso&quot;"/>
    <numFmt numFmtId="206" formatCode="&quot;Activado&quot;;&quot;Activado&quot;;&quot;Desactivado&quot;"/>
    <numFmt numFmtId="207" formatCode="[$€-2]\ #,##0.00_);[Red]\([$€-2]\ #,##0.00\)"/>
  </numFmts>
  <fonts count="58">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name val="Tahoma"/>
      <family val="2"/>
    </font>
    <font>
      <sz val="12"/>
      <name val="Arial"/>
      <family val="2"/>
    </font>
    <font>
      <b/>
      <sz val="10"/>
      <color indexed="9"/>
      <name val="Tahoma"/>
      <family val="2"/>
    </font>
    <font>
      <sz val="10"/>
      <name val="Tahoma"/>
      <family val="2"/>
    </font>
    <font>
      <b/>
      <sz val="10"/>
      <color indexed="18"/>
      <name val="Tahoma"/>
      <family val="2"/>
    </font>
    <font>
      <sz val="10"/>
      <color indexed="18"/>
      <name val="Tahoma"/>
      <family val="2"/>
    </font>
    <font>
      <b/>
      <sz val="10"/>
      <color indexed="8"/>
      <name val="Tahoma"/>
      <family val="2"/>
    </font>
    <font>
      <sz val="10"/>
      <color indexed="9"/>
      <name val="Tahoma"/>
      <family val="2"/>
    </font>
    <font>
      <b/>
      <sz val="10"/>
      <color indexed="10"/>
      <name val="Tahoma"/>
      <family val="2"/>
    </font>
    <font>
      <sz val="10"/>
      <color indexed="10"/>
      <name val="Tahoma"/>
      <family val="2"/>
    </font>
    <font>
      <b/>
      <sz val="8"/>
      <name val="Arial"/>
      <family val="2"/>
    </font>
    <font>
      <b/>
      <sz val="8"/>
      <color indexed="32"/>
      <name val="Arial"/>
      <family val="2"/>
    </font>
    <font>
      <b/>
      <sz val="8"/>
      <color indexed="10"/>
      <name val="Arial"/>
      <family val="2"/>
    </font>
    <font>
      <sz val="12"/>
      <color indexed="18"/>
      <name val="Arial"/>
      <family val="2"/>
    </font>
    <font>
      <sz val="12"/>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Tahoma"/>
      <family val="2"/>
    </font>
    <font>
      <b/>
      <sz val="10"/>
      <color rgb="FF000066"/>
      <name val="Tahoma"/>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medium"/>
      <right style="medium"/>
      <top style="medium"/>
      <bottom style="mediu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thin">
        <color indexed="22"/>
      </left>
      <right>
        <color indexed="63"/>
      </right>
      <top style="thin">
        <color indexed="22"/>
      </top>
      <bottom>
        <color indexed="63"/>
      </bottom>
    </border>
    <border>
      <left>
        <color indexed="63"/>
      </left>
      <right style="medium"/>
      <top style="medium"/>
      <bottom style="medium"/>
    </border>
    <border>
      <left style="medium"/>
      <right style="medium"/>
      <top style="medium"/>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95"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17">
    <xf numFmtId="0" fontId="0" fillId="0" borderId="0" xfId="0" applyAlignment="1">
      <alignment/>
    </xf>
    <xf numFmtId="0" fontId="0" fillId="0" borderId="0" xfId="0" applyFont="1" applyFill="1" applyBorder="1" applyAlignment="1" applyProtection="1">
      <alignment/>
      <protection hidden="1"/>
    </xf>
    <xf numFmtId="0" fontId="0" fillId="0" borderId="10" xfId="0" applyFont="1" applyFill="1" applyBorder="1" applyAlignment="1" applyProtection="1">
      <alignment horizontal="center"/>
      <protection hidden="1"/>
    </xf>
    <xf numFmtId="14" fontId="0" fillId="0" borderId="0" xfId="0" applyNumberFormat="1" applyFont="1" applyFill="1" applyBorder="1" applyAlignment="1" applyProtection="1">
      <alignment horizontal="center"/>
      <protection hidden="1"/>
    </xf>
    <xf numFmtId="14" fontId="0" fillId="0" borderId="11" xfId="0" applyNumberFormat="1"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3" xfId="0" applyFont="1" applyFill="1" applyBorder="1" applyAlignment="1" applyProtection="1">
      <alignment/>
      <protection hidden="1"/>
    </xf>
    <xf numFmtId="14" fontId="0" fillId="0" borderId="11" xfId="0" applyNumberFormat="1" applyFont="1" applyFill="1" applyBorder="1" applyAlignment="1" applyProtection="1">
      <alignment/>
      <protection hidden="1"/>
    </xf>
    <xf numFmtId="190" fontId="0" fillId="0" borderId="11" xfId="49" applyNumberFormat="1" applyFont="1" applyFill="1" applyBorder="1" applyAlignment="1" applyProtection="1">
      <alignment horizontal="right"/>
      <protection hidden="1"/>
    </xf>
    <xf numFmtId="180" fontId="0" fillId="0" borderId="11" xfId="49" applyNumberFormat="1" applyFont="1" applyFill="1" applyBorder="1" applyAlignment="1" applyProtection="1">
      <alignment horizontal="right"/>
      <protection hidden="1"/>
    </xf>
    <xf numFmtId="188" fontId="0" fillId="0" borderId="11" xfId="49" applyNumberFormat="1" applyFont="1" applyFill="1" applyBorder="1" applyAlignment="1" applyProtection="1">
      <alignment horizontal="right"/>
      <protection hidden="1"/>
    </xf>
    <xf numFmtId="187" fontId="0" fillId="0" borderId="11" xfId="49" applyNumberFormat="1" applyFont="1" applyFill="1" applyBorder="1" applyAlignment="1" applyProtection="1">
      <alignment horizontal="right"/>
      <protection hidden="1"/>
    </xf>
    <xf numFmtId="173" fontId="0" fillId="0" borderId="11" xfId="49" applyNumberFormat="1" applyFont="1" applyFill="1" applyBorder="1" applyAlignment="1" applyProtection="1">
      <alignment horizontal="right"/>
      <protection hidden="1"/>
    </xf>
    <xf numFmtId="180" fontId="0" fillId="0" borderId="0" xfId="0" applyNumberFormat="1" applyFont="1" applyFill="1" applyBorder="1" applyAlignment="1" applyProtection="1">
      <alignment horizontal="center"/>
      <protection hidden="1"/>
    </xf>
    <xf numFmtId="189" fontId="0" fillId="0" borderId="11" xfId="49" applyNumberFormat="1" applyFont="1" applyFill="1" applyBorder="1" applyAlignment="1" applyProtection="1">
      <alignment horizontal="right"/>
      <protection hidden="1"/>
    </xf>
    <xf numFmtId="187" fontId="0" fillId="0" borderId="0" xfId="0" applyNumberFormat="1" applyFont="1" applyFill="1" applyBorder="1" applyAlignment="1" applyProtection="1">
      <alignment horizontal="center"/>
      <protection hidden="1"/>
    </xf>
    <xf numFmtId="0" fontId="0" fillId="0" borderId="14" xfId="0" applyFont="1" applyFill="1" applyBorder="1" applyAlignment="1" applyProtection="1">
      <alignment/>
      <protection hidden="1"/>
    </xf>
    <xf numFmtId="179" fontId="0" fillId="0" borderId="12" xfId="62" applyNumberFormat="1" applyFont="1" applyFill="1" applyBorder="1" applyAlignment="1" applyProtection="1">
      <alignment horizontal="right"/>
      <protection hidden="1"/>
    </xf>
    <xf numFmtId="179" fontId="0" fillId="0" borderId="11" xfId="62" applyNumberFormat="1" applyFont="1" applyFill="1" applyBorder="1" applyAlignment="1" applyProtection="1">
      <alignment horizontal="right"/>
      <protection hidden="1"/>
    </xf>
    <xf numFmtId="185" fontId="0" fillId="0" borderId="0" xfId="49" applyNumberFormat="1" applyFont="1" applyFill="1" applyBorder="1" applyAlignment="1" applyProtection="1">
      <alignment/>
      <protection hidden="1"/>
    </xf>
    <xf numFmtId="173" fontId="0" fillId="0" borderId="0" xfId="0" applyNumberFormat="1" applyFont="1" applyFill="1" applyBorder="1" applyAlignment="1" applyProtection="1">
      <alignment/>
      <protection hidden="1"/>
    </xf>
    <xf numFmtId="190" fontId="0" fillId="0" borderId="0" xfId="0" applyNumberFormat="1" applyFont="1" applyFill="1" applyBorder="1" applyAlignment="1" applyProtection="1">
      <alignment horizontal="center"/>
      <protection hidden="1"/>
    </xf>
    <xf numFmtId="187" fontId="0" fillId="0" borderId="12" xfId="0" applyNumberFormat="1" applyFont="1" applyFill="1" applyBorder="1" applyAlignment="1" applyProtection="1">
      <alignment horizontal="center"/>
      <protection hidden="1"/>
    </xf>
    <xf numFmtId="188" fontId="0" fillId="0" borderId="0" xfId="0" applyNumberFormat="1" applyFont="1" applyFill="1" applyBorder="1" applyAlignment="1" applyProtection="1">
      <alignment horizontal="center"/>
      <protection hidden="1"/>
    </xf>
    <xf numFmtId="192" fontId="0" fillId="0" borderId="0" xfId="0" applyNumberFormat="1" applyFont="1" applyFill="1" applyBorder="1" applyAlignment="1" applyProtection="1">
      <alignment horizontal="center"/>
      <protection hidden="1"/>
    </xf>
    <xf numFmtId="0" fontId="0" fillId="0" borderId="15" xfId="0" applyFont="1" applyFill="1" applyBorder="1" applyAlignment="1" applyProtection="1">
      <alignment/>
      <protection hidden="1"/>
    </xf>
    <xf numFmtId="0" fontId="0" fillId="0" borderId="0" xfId="0" applyFont="1" applyFill="1" applyAlignment="1" applyProtection="1">
      <alignment/>
      <protection hidden="1"/>
    </xf>
    <xf numFmtId="14" fontId="0" fillId="0" borderId="15" xfId="62" applyNumberFormat="1" applyFont="1" applyFill="1" applyBorder="1" applyAlignment="1" applyProtection="1">
      <alignment horizontal="center"/>
      <protection hidden="1"/>
    </xf>
    <xf numFmtId="14" fontId="0" fillId="0" borderId="13" xfId="62" applyNumberFormat="1" applyFont="1" applyFill="1" applyBorder="1" applyAlignment="1" applyProtection="1">
      <alignment horizontal="center"/>
      <protection hidden="1"/>
    </xf>
    <xf numFmtId="14" fontId="0" fillId="0" borderId="14" xfId="62" applyNumberFormat="1" applyFont="1" applyFill="1" applyBorder="1" applyAlignment="1" applyProtection="1">
      <alignment horizontal="center"/>
      <protection hidden="1"/>
    </xf>
    <xf numFmtId="0" fontId="0" fillId="0" borderId="0" xfId="0" applyFill="1" applyAlignment="1" applyProtection="1">
      <alignment/>
      <protection hidden="1"/>
    </xf>
    <xf numFmtId="0" fontId="1" fillId="0" borderId="0" xfId="46" applyFill="1" applyAlignment="1" applyProtection="1">
      <alignment horizontal="center" vertical="center"/>
      <protection hidden="1"/>
    </xf>
    <xf numFmtId="10" fontId="0" fillId="0" borderId="0" xfId="0" applyNumberFormat="1" applyFont="1" applyFill="1" applyBorder="1" applyAlignment="1" applyProtection="1">
      <alignment horizontal="center"/>
      <protection hidden="1"/>
    </xf>
    <xf numFmtId="0" fontId="0" fillId="33" borderId="0" xfId="0" applyFont="1" applyFill="1" applyAlignment="1" applyProtection="1">
      <alignment/>
      <protection hidden="1"/>
    </xf>
    <xf numFmtId="172" fontId="0" fillId="33" borderId="16" xfId="49" applyNumberFormat="1" applyFont="1" applyFill="1" applyBorder="1" applyAlignment="1" applyProtection="1">
      <alignment horizontal="center"/>
      <protection hidden="1"/>
    </xf>
    <xf numFmtId="186" fontId="0" fillId="33" borderId="16" xfId="62" applyNumberFormat="1" applyFont="1" applyFill="1" applyBorder="1" applyAlignment="1" applyProtection="1">
      <alignment/>
      <protection hidden="1"/>
    </xf>
    <xf numFmtId="190" fontId="0" fillId="33" borderId="16" xfId="49" applyNumberFormat="1" applyFont="1" applyFill="1" applyBorder="1" applyAlignment="1" applyProtection="1">
      <alignment horizontal="right"/>
      <protection hidden="1"/>
    </xf>
    <xf numFmtId="190" fontId="0" fillId="33" borderId="17" xfId="49" applyNumberFormat="1" applyFont="1" applyFill="1" applyBorder="1" applyAlignment="1" applyProtection="1">
      <alignment horizontal="right"/>
      <protection hidden="1"/>
    </xf>
    <xf numFmtId="14" fontId="0" fillId="33" borderId="16"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0" fillId="33" borderId="18" xfId="0" applyFont="1" applyFill="1" applyBorder="1" applyAlignment="1" applyProtection="1">
      <alignment horizontal="center"/>
      <protection hidden="1"/>
    </xf>
    <xf numFmtId="173" fontId="0" fillId="33" borderId="19" xfId="0" applyNumberFormat="1" applyFont="1" applyFill="1" applyBorder="1" applyAlignment="1" applyProtection="1">
      <alignment/>
      <protection hidden="1"/>
    </xf>
    <xf numFmtId="173" fontId="0" fillId="33" borderId="16" xfId="0" applyNumberFormat="1" applyFont="1" applyFill="1" applyBorder="1" applyAlignment="1" applyProtection="1">
      <alignment/>
      <protection hidden="1"/>
    </xf>
    <xf numFmtId="173" fontId="0" fillId="33" borderId="18" xfId="0" applyNumberFormat="1" applyFont="1" applyFill="1" applyBorder="1" applyAlignment="1" applyProtection="1">
      <alignment/>
      <protection hidden="1"/>
    </xf>
    <xf numFmtId="14" fontId="0" fillId="33" borderId="20" xfId="0" applyNumberFormat="1" applyFont="1" applyFill="1" applyBorder="1" applyAlignment="1" applyProtection="1">
      <alignment horizontal="center"/>
      <protection hidden="1"/>
    </xf>
    <xf numFmtId="0" fontId="0" fillId="33" borderId="21" xfId="0" applyFont="1" applyFill="1" applyBorder="1" applyAlignment="1" applyProtection="1">
      <alignment horizontal="center"/>
      <protection hidden="1"/>
    </xf>
    <xf numFmtId="0" fontId="0" fillId="33" borderId="22" xfId="0" applyFont="1" applyFill="1" applyBorder="1" applyAlignment="1" applyProtection="1">
      <alignment horizontal="center"/>
      <protection hidden="1"/>
    </xf>
    <xf numFmtId="173" fontId="0" fillId="33" borderId="20" xfId="0" applyNumberFormat="1" applyFont="1" applyFill="1" applyBorder="1" applyAlignment="1" applyProtection="1">
      <alignment/>
      <protection hidden="1"/>
    </xf>
    <xf numFmtId="173" fontId="0" fillId="33" borderId="22" xfId="0" applyNumberFormat="1" applyFont="1" applyFill="1" applyBorder="1" applyAlignment="1" applyProtection="1">
      <alignment/>
      <protection hidden="1"/>
    </xf>
    <xf numFmtId="0" fontId="4" fillId="33" borderId="23" xfId="0" applyFont="1" applyFill="1" applyBorder="1" applyAlignment="1" applyProtection="1">
      <alignment horizontal="center"/>
      <protection hidden="1"/>
    </xf>
    <xf numFmtId="0" fontId="4" fillId="33" borderId="24" xfId="0" applyFont="1" applyFill="1" applyBorder="1" applyAlignment="1" applyProtection="1">
      <alignment/>
      <protection hidden="1"/>
    </xf>
    <xf numFmtId="186" fontId="4" fillId="33" borderId="25" xfId="62" applyNumberFormat="1" applyFont="1" applyFill="1" applyBorder="1" applyAlignment="1" applyProtection="1">
      <alignment/>
      <protection hidden="1"/>
    </xf>
    <xf numFmtId="190" fontId="4" fillId="33" borderId="24" xfId="0" applyNumberFormat="1" applyFont="1" applyFill="1" applyBorder="1" applyAlignment="1" applyProtection="1">
      <alignment/>
      <protection hidden="1"/>
    </xf>
    <xf numFmtId="190" fontId="4" fillId="33" borderId="26" xfId="49" applyNumberFormat="1" applyFont="1" applyFill="1" applyBorder="1" applyAlignment="1" applyProtection="1">
      <alignment/>
      <protection hidden="1"/>
    </xf>
    <xf numFmtId="190" fontId="4" fillId="33" borderId="27" xfId="49" applyNumberFormat="1" applyFont="1" applyFill="1" applyBorder="1" applyAlignment="1" applyProtection="1">
      <alignment/>
      <protection hidden="1"/>
    </xf>
    <xf numFmtId="14" fontId="0" fillId="33" borderId="0" xfId="0" applyNumberFormat="1" applyFont="1" applyFill="1" applyBorder="1" applyAlignment="1" applyProtection="1">
      <alignment horizontal="center"/>
      <protection hidden="1"/>
    </xf>
    <xf numFmtId="0" fontId="0" fillId="33" borderId="0" xfId="0" applyFont="1" applyFill="1" applyAlignment="1" applyProtection="1">
      <alignment horizontal="center"/>
      <protection hidden="1"/>
    </xf>
    <xf numFmtId="173" fontId="4" fillId="33" borderId="28" xfId="0" applyNumberFormat="1" applyFont="1" applyFill="1" applyBorder="1" applyAlignment="1" applyProtection="1">
      <alignment/>
      <protection hidden="1"/>
    </xf>
    <xf numFmtId="173" fontId="4" fillId="33" borderId="26" xfId="49" applyNumberFormat="1" applyFont="1" applyFill="1" applyBorder="1" applyAlignment="1" applyProtection="1">
      <alignment/>
      <protection hidden="1"/>
    </xf>
    <xf numFmtId="173" fontId="4" fillId="33" borderId="27" xfId="49" applyNumberFormat="1" applyFont="1" applyFill="1" applyBorder="1" applyAlignment="1" applyProtection="1">
      <alignment/>
      <protection hidden="1"/>
    </xf>
    <xf numFmtId="2" fontId="0" fillId="33" borderId="0" xfId="0" applyNumberFormat="1" applyFont="1" applyFill="1" applyAlignment="1" applyProtection="1">
      <alignment/>
      <protection hidden="1"/>
    </xf>
    <xf numFmtId="0" fontId="0" fillId="34" borderId="0" xfId="0" applyFont="1" applyFill="1" applyAlignment="1" applyProtection="1">
      <alignment horizontal="center" vertical="center"/>
      <protection hidden="1"/>
    </xf>
    <xf numFmtId="172" fontId="0" fillId="0" borderId="16" xfId="49" applyNumberFormat="1" applyFont="1" applyFill="1" applyBorder="1" applyAlignment="1" applyProtection="1">
      <alignment horizontal="center"/>
      <protection hidden="1"/>
    </xf>
    <xf numFmtId="186" fontId="0" fillId="0" borderId="16" xfId="62" applyNumberFormat="1" applyFont="1" applyFill="1" applyBorder="1" applyAlignment="1" applyProtection="1">
      <alignment/>
      <protection hidden="1"/>
    </xf>
    <xf numFmtId="190" fontId="0" fillId="0" borderId="16" xfId="49" applyNumberFormat="1" applyFont="1" applyFill="1" applyBorder="1" applyAlignment="1" applyProtection="1">
      <alignment horizontal="right"/>
      <protection hidden="1"/>
    </xf>
    <xf numFmtId="190" fontId="0" fillId="0" borderId="17" xfId="49" applyNumberFormat="1" applyFont="1" applyFill="1" applyBorder="1" applyAlignment="1" applyProtection="1">
      <alignment horizontal="right"/>
      <protection hidden="1"/>
    </xf>
    <xf numFmtId="14" fontId="0" fillId="0" borderId="16" xfId="0" applyNumberFormat="1" applyFont="1" applyFill="1" applyBorder="1" applyAlignment="1" applyProtection="1">
      <alignment horizontal="center"/>
      <protection hidden="1"/>
    </xf>
    <xf numFmtId="0" fontId="0" fillId="0" borderId="18" xfId="0" applyFont="1" applyFill="1" applyBorder="1" applyAlignment="1" applyProtection="1">
      <alignment horizontal="center"/>
      <protection hidden="1"/>
    </xf>
    <xf numFmtId="173" fontId="0" fillId="0" borderId="16" xfId="0" applyNumberFormat="1" applyFont="1" applyFill="1" applyBorder="1" applyAlignment="1" applyProtection="1">
      <alignment/>
      <protection hidden="1"/>
    </xf>
    <xf numFmtId="173" fontId="0" fillId="0" borderId="18" xfId="0" applyNumberFormat="1" applyFont="1" applyFill="1" applyBorder="1" applyAlignment="1" applyProtection="1">
      <alignment/>
      <protection hidden="1"/>
    </xf>
    <xf numFmtId="178" fontId="0" fillId="0" borderId="23" xfId="62" applyNumberFormat="1" applyFont="1" applyFill="1" applyBorder="1" applyAlignment="1" applyProtection="1">
      <alignment horizontal="center"/>
      <protection hidden="1"/>
    </xf>
    <xf numFmtId="173" fontId="0" fillId="0" borderId="19" xfId="0" applyNumberFormat="1" applyFont="1" applyFill="1" applyBorder="1" applyAlignment="1" applyProtection="1">
      <alignment/>
      <protection hidden="1"/>
    </xf>
    <xf numFmtId="181" fontId="0" fillId="0" borderId="0" xfId="0" applyNumberFormat="1"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186" fontId="0" fillId="0" borderId="0" xfId="0" applyNumberFormat="1" applyFont="1" applyFill="1" applyBorder="1" applyAlignment="1" applyProtection="1">
      <alignment horizontal="center"/>
      <protection hidden="1"/>
    </xf>
    <xf numFmtId="190" fontId="0" fillId="34" borderId="16" xfId="49" applyNumberFormat="1" applyFont="1" applyFill="1" applyBorder="1" applyAlignment="1" applyProtection="1">
      <alignment/>
      <protection hidden="1"/>
    </xf>
    <xf numFmtId="14" fontId="0" fillId="0" borderId="13" xfId="0" applyNumberFormat="1" applyFont="1" applyFill="1" applyBorder="1" applyAlignment="1" applyProtection="1">
      <alignment horizontal="center"/>
      <protection hidden="1"/>
    </xf>
    <xf numFmtId="0" fontId="6" fillId="0" borderId="13" xfId="0" applyFont="1" applyFill="1" applyBorder="1" applyAlignment="1">
      <alignment horizontal="center" wrapText="1"/>
    </xf>
    <xf numFmtId="0" fontId="0" fillId="0" borderId="11" xfId="0" applyFont="1" applyFill="1" applyBorder="1" applyAlignment="1" applyProtection="1">
      <alignment horizontal="center"/>
      <protection hidden="1"/>
    </xf>
    <xf numFmtId="190" fontId="0" fillId="0" borderId="16" xfId="49" applyNumberFormat="1" applyFont="1" applyFill="1" applyBorder="1" applyAlignment="1" applyProtection="1">
      <alignment/>
      <protection hidden="1"/>
    </xf>
    <xf numFmtId="10" fontId="0" fillId="34" borderId="11" xfId="0" applyNumberFormat="1" applyFont="1" applyFill="1" applyBorder="1" applyAlignment="1" applyProtection="1">
      <alignment horizontal="center"/>
      <protection hidden="1"/>
    </xf>
    <xf numFmtId="181" fontId="0" fillId="34" borderId="0" xfId="0" applyNumberFormat="1" applyFont="1" applyFill="1" applyBorder="1" applyAlignment="1" applyProtection="1">
      <alignment horizontal="center"/>
      <protection hidden="1"/>
    </xf>
    <xf numFmtId="0" fontId="0" fillId="34" borderId="0" xfId="0" applyFont="1" applyFill="1" applyBorder="1" applyAlignment="1" applyProtection="1">
      <alignment horizontal="center"/>
      <protection hidden="1"/>
    </xf>
    <xf numFmtId="178" fontId="0" fillId="0" borderId="29" xfId="69" applyNumberFormat="1" applyFont="1" applyFill="1" applyBorder="1" applyAlignment="1" applyProtection="1">
      <alignment horizontal="center"/>
      <protection hidden="1"/>
    </xf>
    <xf numFmtId="178" fontId="0" fillId="0" borderId="0" xfId="69" applyNumberFormat="1" applyFont="1" applyFill="1" applyBorder="1" applyAlignment="1" applyProtection="1">
      <alignment horizontal="center"/>
      <protection hidden="1"/>
    </xf>
    <xf numFmtId="182" fontId="0" fillId="0" borderId="0" xfId="69" applyNumberFormat="1" applyFont="1" applyFill="1" applyBorder="1" applyAlignment="1" applyProtection="1">
      <alignment horizontal="center"/>
      <protection hidden="1"/>
    </xf>
    <xf numFmtId="2" fontId="4" fillId="34" borderId="28" xfId="69" applyNumberFormat="1" applyFont="1" applyFill="1" applyBorder="1" applyAlignment="1" applyProtection="1">
      <alignment horizontal="center" vertical="center" wrapText="1"/>
      <protection hidden="1"/>
    </xf>
    <xf numFmtId="178" fontId="4" fillId="34" borderId="25" xfId="69" applyNumberFormat="1" applyFont="1" applyFill="1" applyBorder="1" applyAlignment="1" applyProtection="1">
      <alignment horizontal="center" vertical="center" wrapText="1"/>
      <protection hidden="1"/>
    </xf>
    <xf numFmtId="2" fontId="4" fillId="34" borderId="25" xfId="69" applyNumberFormat="1" applyFont="1" applyFill="1" applyBorder="1" applyAlignment="1" applyProtection="1">
      <alignment horizontal="center" vertical="center" wrapText="1"/>
      <protection hidden="1"/>
    </xf>
    <xf numFmtId="178" fontId="4" fillId="34" borderId="26" xfId="69" applyNumberFormat="1" applyFont="1" applyFill="1" applyBorder="1" applyAlignment="1" applyProtection="1">
      <alignment horizontal="center" vertical="center" wrapText="1"/>
      <protection hidden="1"/>
    </xf>
    <xf numFmtId="0" fontId="4" fillId="34" borderId="25" xfId="0" applyFont="1" applyFill="1" applyBorder="1" applyAlignment="1" applyProtection="1">
      <alignment horizontal="center" vertical="center" wrapText="1"/>
      <protection hidden="1"/>
    </xf>
    <xf numFmtId="0" fontId="4" fillId="34" borderId="24" xfId="0" applyFont="1" applyFill="1" applyBorder="1" applyAlignment="1" applyProtection="1">
      <alignment horizontal="center" vertical="center" wrapText="1"/>
      <protection hidden="1"/>
    </xf>
    <xf numFmtId="0" fontId="4" fillId="34" borderId="27" xfId="0" applyFont="1" applyFill="1" applyBorder="1" applyAlignment="1" applyProtection="1">
      <alignment horizontal="center" vertical="center" wrapText="1"/>
      <protection hidden="1"/>
    </xf>
    <xf numFmtId="2" fontId="4" fillId="34" borderId="27" xfId="69" applyNumberFormat="1" applyFont="1" applyFill="1" applyBorder="1" applyAlignment="1" applyProtection="1">
      <alignment horizontal="center" vertical="center" wrapText="1"/>
      <protection hidden="1"/>
    </xf>
    <xf numFmtId="0" fontId="55" fillId="35" borderId="30" xfId="0" applyFont="1" applyFill="1" applyBorder="1" applyAlignment="1" applyProtection="1">
      <alignment horizontal="left"/>
      <protection hidden="1"/>
    </xf>
    <xf numFmtId="0" fontId="8" fillId="0" borderId="31" xfId="0" applyFont="1" applyBorder="1" applyAlignment="1" applyProtection="1">
      <alignment/>
      <protection hidden="1"/>
    </xf>
    <xf numFmtId="0" fontId="7" fillId="35" borderId="32" xfId="0" applyFont="1" applyFill="1" applyBorder="1" applyAlignment="1" applyProtection="1">
      <alignment horizontal="left"/>
      <protection hidden="1"/>
    </xf>
    <xf numFmtId="0" fontId="8" fillId="0" borderId="33" xfId="0" applyFont="1" applyBorder="1" applyAlignment="1" applyProtection="1">
      <alignment/>
      <protection hidden="1"/>
    </xf>
    <xf numFmtId="14" fontId="8" fillId="0" borderId="34" xfId="0" applyNumberFormat="1" applyFont="1" applyBorder="1" applyAlignment="1" applyProtection="1">
      <alignment/>
      <protection hidden="1"/>
    </xf>
    <xf numFmtId="14" fontId="8" fillId="0" borderId="33" xfId="0" applyNumberFormat="1" applyFont="1" applyBorder="1" applyAlignment="1" applyProtection="1">
      <alignment/>
      <protection hidden="1"/>
    </xf>
    <xf numFmtId="14" fontId="8" fillId="0" borderId="35" xfId="0" applyNumberFormat="1" applyFont="1" applyBorder="1" applyAlignment="1" applyProtection="1">
      <alignment/>
      <protection hidden="1"/>
    </xf>
    <xf numFmtId="0" fontId="8" fillId="0" borderId="0" xfId="0" applyFont="1" applyBorder="1" applyAlignment="1" applyProtection="1">
      <alignment/>
      <protection hidden="1"/>
    </xf>
    <xf numFmtId="0" fontId="56" fillId="36" borderId="34" xfId="0" applyFont="1" applyFill="1" applyBorder="1" applyAlignment="1" applyProtection="1">
      <alignment/>
      <protection hidden="1"/>
    </xf>
    <xf numFmtId="0" fontId="56" fillId="36" borderId="33" xfId="0" applyFont="1" applyFill="1" applyBorder="1" applyAlignment="1" applyProtection="1">
      <alignment/>
      <protection hidden="1"/>
    </xf>
    <xf numFmtId="0" fontId="9" fillId="36" borderId="33" xfId="0" applyFont="1" applyFill="1" applyBorder="1" applyAlignment="1" applyProtection="1">
      <alignment/>
      <protection hidden="1"/>
    </xf>
    <xf numFmtId="0" fontId="9" fillId="36" borderId="35" xfId="0" applyFont="1" applyFill="1" applyBorder="1" applyAlignment="1" applyProtection="1">
      <alignment/>
      <protection hidden="1"/>
    </xf>
    <xf numFmtId="0" fontId="8" fillId="0" borderId="0" xfId="0" applyFont="1" applyAlignment="1" applyProtection="1">
      <alignment/>
      <protection hidden="1"/>
    </xf>
    <xf numFmtId="0" fontId="9" fillId="37" borderId="34" xfId="0" applyFont="1" applyFill="1" applyBorder="1" applyAlignment="1" applyProtection="1">
      <alignment/>
      <protection hidden="1"/>
    </xf>
    <xf numFmtId="0" fontId="5" fillId="37" borderId="34" xfId="0" applyFont="1" applyFill="1" applyBorder="1" applyAlignment="1" applyProtection="1">
      <alignment/>
      <protection hidden="1"/>
    </xf>
    <xf numFmtId="0" fontId="56" fillId="37" borderId="33" xfId="0" applyFont="1" applyFill="1" applyBorder="1" applyAlignment="1" applyProtection="1">
      <alignment/>
      <protection hidden="1"/>
    </xf>
    <xf numFmtId="0" fontId="9" fillId="37" borderId="33" xfId="0" applyFont="1" applyFill="1" applyBorder="1" applyAlignment="1" applyProtection="1">
      <alignment/>
      <protection hidden="1"/>
    </xf>
    <xf numFmtId="0" fontId="8" fillId="0" borderId="35" xfId="0" applyFont="1" applyBorder="1" applyAlignment="1" applyProtection="1">
      <alignment/>
      <protection hidden="1"/>
    </xf>
    <xf numFmtId="0" fontId="5" fillId="37" borderId="0" xfId="0" applyFont="1" applyFill="1" applyBorder="1" applyAlignment="1" applyProtection="1">
      <alignment horizontal="center" vertical="center" wrapText="1"/>
      <protection hidden="1"/>
    </xf>
    <xf numFmtId="0" fontId="8" fillId="36" borderId="0" xfId="0" applyFont="1" applyFill="1" applyBorder="1" applyAlignment="1" applyProtection="1">
      <alignment/>
      <protection hidden="1"/>
    </xf>
    <xf numFmtId="0" fontId="10" fillId="36" borderId="0"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14" fontId="8" fillId="0" borderId="0" xfId="0" applyNumberFormat="1" applyFont="1" applyFill="1" applyBorder="1" applyAlignment="1" applyProtection="1">
      <alignment horizontal="center"/>
      <protection hidden="1"/>
    </xf>
    <xf numFmtId="0" fontId="9" fillId="36" borderId="0" xfId="0" applyFont="1" applyFill="1" applyBorder="1" applyAlignment="1" applyProtection="1">
      <alignment horizontal="left" vertical="center" indent="14"/>
      <protection hidden="1"/>
    </xf>
    <xf numFmtId="0" fontId="11" fillId="36" borderId="0" xfId="0" applyFont="1" applyFill="1" applyBorder="1" applyAlignment="1" applyProtection="1">
      <alignment horizontal="left" vertical="center" indent="14"/>
      <protection hidden="1"/>
    </xf>
    <xf numFmtId="0" fontId="8" fillId="0" borderId="0" xfId="0" applyFont="1" applyFill="1" applyAlignment="1" applyProtection="1">
      <alignment/>
      <protection hidden="1"/>
    </xf>
    <xf numFmtId="14" fontId="8" fillId="37" borderId="0" xfId="0" applyNumberFormat="1" applyFont="1" applyFill="1" applyAlignment="1" applyProtection="1">
      <alignment/>
      <protection hidden="1"/>
    </xf>
    <xf numFmtId="14" fontId="8" fillId="0" borderId="0" xfId="0" applyNumberFormat="1" applyFont="1" applyFill="1" applyBorder="1" applyAlignment="1" applyProtection="1">
      <alignment/>
      <protection hidden="1"/>
    </xf>
    <xf numFmtId="0" fontId="11" fillId="36" borderId="0" xfId="0" applyFont="1" applyFill="1" applyBorder="1" applyAlignment="1" applyProtection="1">
      <alignment vertical="center"/>
      <protection hidden="1"/>
    </xf>
    <xf numFmtId="0" fontId="5" fillId="36" borderId="31" xfId="0" applyFont="1" applyFill="1" applyBorder="1" applyAlignment="1" applyProtection="1">
      <alignment/>
      <protection hidden="1"/>
    </xf>
    <xf numFmtId="14" fontId="8" fillId="0" borderId="0" xfId="0" applyNumberFormat="1" applyFont="1" applyFill="1" applyAlignment="1" applyProtection="1">
      <alignment/>
      <protection hidden="1"/>
    </xf>
    <xf numFmtId="0" fontId="8" fillId="36" borderId="36" xfId="0" applyFont="1" applyFill="1" applyBorder="1" applyAlignment="1" applyProtection="1">
      <alignment/>
      <protection hidden="1"/>
    </xf>
    <xf numFmtId="0" fontId="7" fillId="35" borderId="37" xfId="0" applyFont="1" applyFill="1" applyBorder="1" applyAlignment="1" applyProtection="1">
      <alignment horizontal="left"/>
      <protection hidden="1"/>
    </xf>
    <xf numFmtId="14" fontId="9" fillId="37" borderId="37" xfId="0" applyNumberFormat="1" applyFont="1" applyFill="1" applyBorder="1" applyAlignment="1" applyProtection="1">
      <alignment horizontal="center"/>
      <protection hidden="1" locked="0"/>
    </xf>
    <xf numFmtId="14" fontId="9" fillId="37" borderId="38" xfId="0" applyNumberFormat="1" applyFont="1" applyFill="1" applyBorder="1" applyAlignment="1" applyProtection="1">
      <alignment horizontal="center"/>
      <protection hidden="1" locked="0"/>
    </xf>
    <xf numFmtId="0" fontId="8" fillId="0" borderId="32" xfId="0" applyFont="1" applyBorder="1" applyAlignment="1" applyProtection="1">
      <alignment/>
      <protection hidden="1"/>
    </xf>
    <xf numFmtId="0" fontId="1" fillId="0" borderId="0" xfId="46" applyFont="1" applyBorder="1" applyAlignment="1" applyProtection="1">
      <alignment horizontal="center" vertical="center"/>
      <protection hidden="1"/>
    </xf>
    <xf numFmtId="9" fontId="8" fillId="0" borderId="0" xfId="0" applyNumberFormat="1" applyFont="1" applyFill="1" applyBorder="1" applyAlignment="1" applyProtection="1">
      <alignment horizontal="left"/>
      <protection hidden="1"/>
    </xf>
    <xf numFmtId="14" fontId="8" fillId="0" borderId="39" xfId="0" applyNumberFormat="1" applyFont="1" applyBorder="1" applyAlignment="1" applyProtection="1">
      <alignment horizontal="right" indent="1"/>
      <protection hidden="1"/>
    </xf>
    <xf numFmtId="0" fontId="8" fillId="0" borderId="36" xfId="0" applyFont="1" applyBorder="1" applyAlignment="1" applyProtection="1">
      <alignment/>
      <protection hidden="1"/>
    </xf>
    <xf numFmtId="9" fontId="5" fillId="37" borderId="39" xfId="62" applyFont="1" applyFill="1" applyBorder="1" applyAlignment="1" applyProtection="1">
      <alignment horizontal="right" indent="1"/>
      <protection hidden="1" locked="0"/>
    </xf>
    <xf numFmtId="0" fontId="8" fillId="0" borderId="36" xfId="0" applyNumberFormat="1" applyFont="1" applyBorder="1" applyAlignment="1" applyProtection="1">
      <alignment horizontal="right" indent="1"/>
      <protection hidden="1"/>
    </xf>
    <xf numFmtId="179" fontId="13" fillId="37" borderId="36" xfId="0" applyNumberFormat="1" applyFont="1" applyFill="1" applyBorder="1" applyAlignment="1" applyProtection="1">
      <alignment horizontal="right" indent="1"/>
      <protection hidden="1" locked="0"/>
    </xf>
    <xf numFmtId="14" fontId="8" fillId="0" borderId="36" xfId="0" applyNumberFormat="1" applyFont="1" applyBorder="1" applyAlignment="1" applyProtection="1">
      <alignment horizontal="right" indent="1"/>
      <protection hidden="1"/>
    </xf>
    <xf numFmtId="14" fontId="8" fillId="0" borderId="36" xfId="0" applyNumberFormat="1" applyFont="1" applyBorder="1" applyAlignment="1" applyProtection="1">
      <alignment horizontal="center"/>
      <protection hidden="1"/>
    </xf>
    <xf numFmtId="184" fontId="9" fillId="37" borderId="36" xfId="49" applyNumberFormat="1" applyFont="1" applyFill="1" applyBorder="1" applyAlignment="1" applyProtection="1">
      <alignment horizontal="right" indent="1"/>
      <protection hidden="1" locked="0"/>
    </xf>
    <xf numFmtId="184" fontId="8" fillId="0" borderId="40" xfId="49" applyNumberFormat="1" applyFont="1" applyBorder="1" applyAlignment="1" applyProtection="1">
      <alignment horizontal="right" indent="1"/>
      <protection hidden="1" locked="0"/>
    </xf>
    <xf numFmtId="179" fontId="8" fillId="0" borderId="36" xfId="62" applyNumberFormat="1" applyFont="1" applyBorder="1" applyAlignment="1" applyProtection="1">
      <alignment horizontal="right" indent="1"/>
      <protection hidden="1"/>
    </xf>
    <xf numFmtId="14" fontId="5" fillId="0" borderId="36" xfId="0" applyNumberFormat="1" applyFont="1" applyBorder="1" applyAlignment="1" applyProtection="1">
      <alignment horizontal="right" indent="1"/>
      <protection hidden="1"/>
    </xf>
    <xf numFmtId="183" fontId="8" fillId="0" borderId="36" xfId="49" applyNumberFormat="1" applyFont="1" applyBorder="1" applyAlignment="1" applyProtection="1">
      <alignment horizontal="right" indent="1"/>
      <protection hidden="1"/>
    </xf>
    <xf numFmtId="14" fontId="8" fillId="0" borderId="40" xfId="0" applyNumberFormat="1" applyFont="1" applyBorder="1" applyAlignment="1" applyProtection="1">
      <alignment horizontal="right" indent="1"/>
      <protection hidden="1"/>
    </xf>
    <xf numFmtId="191" fontId="10" fillId="37" borderId="36" xfId="49" applyNumberFormat="1" applyFont="1" applyFill="1" applyBorder="1" applyAlignment="1" applyProtection="1">
      <alignment horizontal="right" indent="1"/>
      <protection hidden="1" locked="0"/>
    </xf>
    <xf numFmtId="191" fontId="8" fillId="0" borderId="40" xfId="49" applyNumberFormat="1" applyFont="1" applyBorder="1" applyAlignment="1" applyProtection="1">
      <alignment horizontal="right" indent="1"/>
      <protection hidden="1"/>
    </xf>
    <xf numFmtId="2" fontId="9" fillId="36" borderId="39" xfId="0" applyNumberFormat="1" applyFont="1" applyFill="1" applyBorder="1" applyAlignment="1" applyProtection="1">
      <alignment horizontal="right" indent="1"/>
      <protection hidden="1"/>
    </xf>
    <xf numFmtId="14" fontId="8" fillId="0" borderId="41" xfId="0" applyNumberFormat="1" applyFont="1" applyBorder="1" applyAlignment="1" applyProtection="1">
      <alignment/>
      <protection hidden="1"/>
    </xf>
    <xf numFmtId="2" fontId="9" fillId="36" borderId="36" xfId="0" applyNumberFormat="1" applyFont="1" applyFill="1" applyBorder="1" applyAlignment="1" applyProtection="1">
      <alignment horizontal="right" indent="1"/>
      <protection hidden="1"/>
    </xf>
    <xf numFmtId="2" fontId="9" fillId="36" borderId="0" xfId="0" applyNumberFormat="1" applyFont="1" applyFill="1" applyBorder="1" applyAlignment="1" applyProtection="1">
      <alignment horizontal="center"/>
      <protection hidden="1"/>
    </xf>
    <xf numFmtId="2" fontId="9" fillId="36" borderId="40" xfId="0" applyNumberFormat="1" applyFont="1" applyFill="1" applyBorder="1" applyAlignment="1" applyProtection="1">
      <alignment horizontal="right" indent="1"/>
      <protection hidden="1"/>
    </xf>
    <xf numFmtId="184" fontId="8" fillId="0" borderId="37" xfId="49" applyNumberFormat="1" applyFont="1" applyBorder="1" applyAlignment="1" applyProtection="1">
      <alignment horizontal="right" indent="1"/>
      <protection hidden="1"/>
    </xf>
    <xf numFmtId="0" fontId="14" fillId="36" borderId="0" xfId="0" applyFont="1" applyFill="1" applyAlignment="1" applyProtection="1">
      <alignment horizontal="right"/>
      <protection hidden="1"/>
    </xf>
    <xf numFmtId="0" fontId="14" fillId="0" borderId="0" xfId="0" applyFont="1" applyAlignment="1" applyProtection="1">
      <alignment/>
      <protection hidden="1"/>
    </xf>
    <xf numFmtId="0" fontId="0" fillId="38" borderId="0" xfId="0" applyFont="1" applyFill="1" applyAlignment="1" applyProtection="1">
      <alignment/>
      <protection hidden="1"/>
    </xf>
    <xf numFmtId="14" fontId="0" fillId="34" borderId="13" xfId="0" applyNumberFormat="1" applyFont="1" applyFill="1" applyBorder="1" applyAlignment="1">
      <alignment horizontal="center"/>
    </xf>
    <xf numFmtId="14" fontId="0" fillId="0" borderId="19" xfId="0" applyNumberFormat="1" applyFont="1" applyFill="1" applyBorder="1" applyAlignment="1" applyProtection="1">
      <alignment horizontal="center"/>
      <protection hidden="1"/>
    </xf>
    <xf numFmtId="186" fontId="57" fillId="38" borderId="42" xfId="69" applyNumberFormat="1" applyFont="1" applyFill="1" applyBorder="1" applyAlignment="1" applyProtection="1">
      <alignment horizontal="center"/>
      <protection/>
    </xf>
    <xf numFmtId="14" fontId="0" fillId="0" borderId="13" xfId="0" applyNumberFormat="1" applyFont="1" applyFill="1" applyBorder="1" applyAlignment="1">
      <alignment horizontal="center"/>
    </xf>
    <xf numFmtId="186" fontId="0" fillId="36" borderId="43" xfId="62" applyNumberFormat="1" applyFill="1" applyBorder="1" applyAlignment="1">
      <alignment/>
    </xf>
    <xf numFmtId="186" fontId="0" fillId="36" borderId="44" xfId="62" applyNumberFormat="1" applyFill="1" applyBorder="1" applyAlignment="1">
      <alignment/>
    </xf>
    <xf numFmtId="0" fontId="0" fillId="8" borderId="0" xfId="0" applyFont="1" applyFill="1" applyAlignment="1" applyProtection="1">
      <alignment/>
      <protection hidden="1"/>
    </xf>
    <xf numFmtId="186" fontId="18" fillId="36" borderId="45" xfId="63" applyNumberFormat="1" applyFont="1" applyFill="1" applyBorder="1" applyAlignment="1" applyProtection="1">
      <alignment horizontal="center"/>
      <protection/>
    </xf>
    <xf numFmtId="186" fontId="18" fillId="36" borderId="42" xfId="63" applyNumberFormat="1" applyFont="1" applyFill="1" applyBorder="1" applyAlignment="1" applyProtection="1">
      <alignment horizontal="center"/>
      <protection/>
    </xf>
    <xf numFmtId="186" fontId="18" fillId="0" borderId="45" xfId="63" applyNumberFormat="1" applyFont="1" applyFill="1" applyBorder="1" applyAlignment="1" applyProtection="1">
      <alignment horizontal="center"/>
      <protection/>
    </xf>
    <xf numFmtId="14" fontId="0" fillId="36" borderId="19" xfId="0" applyNumberFormat="1" applyFont="1" applyFill="1" applyBorder="1" applyAlignment="1" applyProtection="1">
      <alignment horizontal="center"/>
      <protection hidden="1"/>
    </xf>
    <xf numFmtId="172" fontId="0" fillId="36" borderId="16" xfId="49" applyNumberFormat="1" applyFont="1" applyFill="1" applyBorder="1" applyAlignment="1" applyProtection="1">
      <alignment horizontal="center"/>
      <protection hidden="1"/>
    </xf>
    <xf numFmtId="186" fontId="0" fillId="36" borderId="16" xfId="62" applyNumberFormat="1" applyFont="1" applyFill="1" applyBorder="1" applyAlignment="1" applyProtection="1">
      <alignment/>
      <protection hidden="1"/>
    </xf>
    <xf numFmtId="190" fontId="0" fillId="36" borderId="16" xfId="49" applyNumberFormat="1" applyFont="1" applyFill="1" applyBorder="1" applyAlignment="1" applyProtection="1">
      <alignment horizontal="right"/>
      <protection hidden="1"/>
    </xf>
    <xf numFmtId="190" fontId="0" fillId="36" borderId="17" xfId="49" applyNumberFormat="1" applyFont="1" applyFill="1" applyBorder="1" applyAlignment="1" applyProtection="1">
      <alignment horizontal="right"/>
      <protection hidden="1"/>
    </xf>
    <xf numFmtId="14" fontId="0" fillId="36" borderId="16" xfId="0" applyNumberFormat="1" applyFont="1" applyFill="1" applyBorder="1" applyAlignment="1" applyProtection="1">
      <alignment horizontal="center"/>
      <protection hidden="1"/>
    </xf>
    <xf numFmtId="0" fontId="0" fillId="36" borderId="18" xfId="0" applyFont="1" applyFill="1" applyBorder="1" applyAlignment="1" applyProtection="1">
      <alignment horizontal="center"/>
      <protection hidden="1"/>
    </xf>
    <xf numFmtId="173" fontId="0" fillId="36" borderId="19" xfId="0" applyNumberFormat="1" applyFont="1" applyFill="1" applyBorder="1" applyAlignment="1" applyProtection="1">
      <alignment/>
      <protection hidden="1"/>
    </xf>
    <xf numFmtId="173" fontId="0" fillId="36" borderId="16" xfId="0" applyNumberFormat="1" applyFont="1" applyFill="1" applyBorder="1" applyAlignment="1" applyProtection="1">
      <alignment/>
      <protection hidden="1"/>
    </xf>
    <xf numFmtId="173" fontId="0" fillId="36" borderId="18" xfId="0" applyNumberFormat="1" applyFont="1" applyFill="1" applyBorder="1" applyAlignment="1" applyProtection="1">
      <alignment/>
      <protection hidden="1"/>
    </xf>
    <xf numFmtId="14" fontId="0" fillId="38" borderId="19" xfId="0" applyNumberFormat="1" applyFont="1" applyFill="1" applyBorder="1" applyAlignment="1" applyProtection="1">
      <alignment horizontal="center"/>
      <protection hidden="1"/>
    </xf>
    <xf numFmtId="172" fontId="0" fillId="38" borderId="16" xfId="49" applyNumberFormat="1" applyFont="1" applyFill="1" applyBorder="1" applyAlignment="1" applyProtection="1">
      <alignment horizontal="center"/>
      <protection hidden="1"/>
    </xf>
    <xf numFmtId="186" fontId="0" fillId="38" borderId="16" xfId="62" applyNumberFormat="1" applyFont="1" applyFill="1" applyBorder="1" applyAlignment="1" applyProtection="1">
      <alignment/>
      <protection hidden="1"/>
    </xf>
    <xf numFmtId="190" fontId="0" fillId="38" borderId="16" xfId="49" applyNumberFormat="1" applyFont="1" applyFill="1" applyBorder="1" applyAlignment="1" applyProtection="1">
      <alignment/>
      <protection hidden="1"/>
    </xf>
    <xf numFmtId="190" fontId="0" fillId="38" borderId="16" xfId="49" applyNumberFormat="1" applyFont="1" applyFill="1" applyBorder="1" applyAlignment="1" applyProtection="1">
      <alignment horizontal="right"/>
      <protection hidden="1"/>
    </xf>
    <xf numFmtId="190" fontId="0" fillId="38" borderId="17" xfId="49" applyNumberFormat="1" applyFont="1" applyFill="1" applyBorder="1" applyAlignment="1" applyProtection="1">
      <alignment horizontal="right"/>
      <protection hidden="1"/>
    </xf>
    <xf numFmtId="14" fontId="0" fillId="38" borderId="16" xfId="0" applyNumberFormat="1" applyFont="1" applyFill="1" applyBorder="1" applyAlignment="1" applyProtection="1">
      <alignment horizontal="center"/>
      <protection hidden="1"/>
    </xf>
    <xf numFmtId="0" fontId="0" fillId="38" borderId="0" xfId="0" applyFont="1" applyFill="1" applyBorder="1" applyAlignment="1" applyProtection="1">
      <alignment horizontal="center"/>
      <protection hidden="1"/>
    </xf>
    <xf numFmtId="0" fontId="0" fillId="38" borderId="18" xfId="0" applyFont="1" applyFill="1" applyBorder="1" applyAlignment="1" applyProtection="1">
      <alignment horizontal="center"/>
      <protection hidden="1"/>
    </xf>
    <xf numFmtId="173" fontId="0" fillId="38" borderId="19" xfId="0" applyNumberFormat="1" applyFont="1" applyFill="1" applyBorder="1" applyAlignment="1" applyProtection="1">
      <alignment/>
      <protection hidden="1"/>
    </xf>
    <xf numFmtId="173" fontId="0" fillId="38" borderId="16" xfId="0" applyNumberFormat="1" applyFont="1" applyFill="1" applyBorder="1" applyAlignment="1" applyProtection="1">
      <alignment/>
      <protection hidden="1"/>
    </xf>
    <xf numFmtId="173" fontId="0" fillId="38" borderId="18" xfId="0" applyNumberFormat="1" applyFont="1" applyFill="1" applyBorder="1" applyAlignment="1" applyProtection="1">
      <alignment/>
      <protection hidden="1"/>
    </xf>
    <xf numFmtId="0" fontId="6" fillId="0" borderId="0" xfId="0" applyFont="1" applyAlignment="1">
      <alignment/>
    </xf>
    <xf numFmtId="0" fontId="6" fillId="34" borderId="0" xfId="0" applyFont="1" applyFill="1" applyAlignment="1">
      <alignment/>
    </xf>
    <xf numFmtId="188" fontId="6" fillId="34" borderId="0" xfId="52" applyNumberFormat="1" applyFont="1" applyFill="1" applyAlignment="1">
      <alignment/>
    </xf>
    <xf numFmtId="186" fontId="6" fillId="34" borderId="0" xfId="0" applyNumberFormat="1" applyFont="1" applyFill="1" applyAlignment="1">
      <alignment/>
    </xf>
    <xf numFmtId="193" fontId="6" fillId="34" borderId="0" xfId="0" applyNumberFormat="1" applyFont="1" applyFill="1" applyAlignment="1">
      <alignment/>
    </xf>
    <xf numFmtId="194" fontId="6" fillId="34" borderId="0" xfId="0" applyNumberFormat="1" applyFont="1" applyFill="1" applyAlignment="1">
      <alignment/>
    </xf>
    <xf numFmtId="0" fontId="19" fillId="34" borderId="0" xfId="0" applyFont="1" applyFill="1" applyAlignment="1">
      <alignment/>
    </xf>
    <xf numFmtId="14" fontId="0" fillId="38" borderId="13" xfId="0" applyNumberFormat="1" applyFont="1" applyFill="1" applyBorder="1" applyAlignment="1">
      <alignment horizontal="center"/>
    </xf>
    <xf numFmtId="181" fontId="0" fillId="38" borderId="0" xfId="0" applyNumberFormat="1" applyFont="1" applyFill="1" applyBorder="1" applyAlignment="1" applyProtection="1">
      <alignment horizontal="center"/>
      <protection hidden="1"/>
    </xf>
    <xf numFmtId="186" fontId="18" fillId="38" borderId="45" xfId="63" applyNumberFormat="1" applyFont="1" applyFill="1" applyBorder="1" applyAlignment="1" applyProtection="1">
      <alignment horizontal="center"/>
      <protection/>
    </xf>
    <xf numFmtId="188" fontId="6" fillId="38" borderId="0" xfId="52" applyNumberFormat="1" applyFont="1" applyFill="1" applyAlignment="1">
      <alignment/>
    </xf>
    <xf numFmtId="188" fontId="6" fillId="0" borderId="0" xfId="52" applyNumberFormat="1" applyFont="1" applyFill="1" applyAlignment="1">
      <alignment/>
    </xf>
    <xf numFmtId="0" fontId="7" fillId="35" borderId="0" xfId="0" applyFont="1" applyFill="1" applyBorder="1" applyAlignment="1" applyProtection="1">
      <alignment horizontal="center" vertical="center"/>
      <protection hidden="1"/>
    </xf>
    <xf numFmtId="0" fontId="7" fillId="35" borderId="30" xfId="0" applyFont="1" applyFill="1" applyBorder="1" applyAlignment="1" applyProtection="1">
      <alignment horizontal="center"/>
      <protection hidden="1"/>
    </xf>
    <xf numFmtId="0" fontId="7" fillId="35" borderId="37" xfId="0" applyFont="1" applyFill="1" applyBorder="1" applyAlignment="1" applyProtection="1">
      <alignment horizontal="center"/>
      <protection hidden="1"/>
    </xf>
    <xf numFmtId="0" fontId="55" fillId="35" borderId="46" xfId="0" applyFont="1" applyFill="1" applyBorder="1" applyAlignment="1" applyProtection="1">
      <alignment horizontal="center"/>
      <protection hidden="1"/>
    </xf>
    <xf numFmtId="0" fontId="55" fillId="35" borderId="39" xfId="0"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0" fontId="0" fillId="0" borderId="47" xfId="0" applyFont="1" applyFill="1" applyBorder="1" applyAlignment="1" applyProtection="1">
      <alignment horizontal="center"/>
      <protection hidden="1"/>
    </xf>
    <xf numFmtId="178" fontId="0" fillId="0" borderId="48" xfId="69" applyNumberFormat="1" applyFont="1" applyFill="1" applyBorder="1" applyAlignment="1" applyProtection="1">
      <alignment horizontal="center" vertical="center" wrapText="1"/>
      <protection hidden="1"/>
    </xf>
    <xf numFmtId="0" fontId="0" fillId="0" borderId="42" xfId="0" applyFont="1" applyFill="1" applyBorder="1" applyAlignment="1" applyProtection="1">
      <alignment horizontal="center" vertical="center" wrapText="1"/>
      <protection hidden="1"/>
    </xf>
    <xf numFmtId="0" fontId="0" fillId="0" borderId="0" xfId="0" applyNumberFormat="1" applyFill="1" applyAlignment="1" applyProtection="1">
      <alignment horizontal="justify" vertical="justify" wrapText="1"/>
      <protection hidden="1"/>
    </xf>
    <xf numFmtId="0" fontId="0" fillId="0" borderId="0" xfId="0" applyFill="1" applyAlignment="1" applyProtection="1">
      <alignment horizontal="justify" vertical="justify" wrapText="1"/>
      <protection hidden="1"/>
    </xf>
    <xf numFmtId="0" fontId="0" fillId="0" borderId="0" xfId="0" applyNumberFormat="1" applyFont="1" applyFill="1" applyAlignment="1" applyProtection="1">
      <alignment horizontal="justify" vertical="justify" wrapText="1"/>
      <protection hidden="1"/>
    </xf>
    <xf numFmtId="186" fontId="0" fillId="36" borderId="43" xfId="62" applyNumberFormat="1" applyFont="1" applyFill="1" applyBorder="1" applyAlignment="1">
      <alignment/>
    </xf>
    <xf numFmtId="186" fontId="0" fillId="0" borderId="43" xfId="62" applyNumberFormat="1" applyFont="1" applyFill="1" applyBorder="1" applyAlignment="1">
      <alignment/>
    </xf>
    <xf numFmtId="186" fontId="0" fillId="38" borderId="43" xfId="62" applyNumberFormat="1" applyFont="1" applyFill="1" applyBorder="1" applyAlignment="1">
      <alignment/>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Millares 4" xfId="54"/>
    <cellStyle name="Currency" xfId="55"/>
    <cellStyle name="Currency [0]" xfId="56"/>
    <cellStyle name="Moneda 2" xfId="57"/>
    <cellStyle name="Neutral" xfId="58"/>
    <cellStyle name="Normal 2" xfId="59"/>
    <cellStyle name="Normal 3" xfId="60"/>
    <cellStyle name="Notas" xfId="61"/>
    <cellStyle name="Percent" xfId="62"/>
    <cellStyle name="Porcentaje 2" xfId="63"/>
    <cellStyle name="Porcentaje 3" xfId="64"/>
    <cellStyle name="Porcentaje 3 2" xfId="65"/>
    <cellStyle name="Porcentaje 4" xfId="66"/>
    <cellStyle name="Porcentaje 4 2" xfId="67"/>
    <cellStyle name="Porcentaje 5" xfId="68"/>
    <cellStyle name="Porcentaje 8" xfId="69"/>
    <cellStyle name="Salida" xfId="70"/>
    <cellStyle name="Style 1" xfId="71"/>
    <cellStyle name="Style 1 2" xfId="72"/>
    <cellStyle name="Style 1 3" xfId="73"/>
    <cellStyle name="Texto de advertencia" xfId="74"/>
    <cellStyle name="Texto explicativo" xfId="75"/>
    <cellStyle name="Título" xfId="76"/>
    <cellStyle name="Título 2" xfId="77"/>
    <cellStyle name="Título 3" xfId="78"/>
    <cellStyle name="Total" xfId="79"/>
  </cellStyles>
  <dxfs count="8">
    <dxf>
      <font>
        <b/>
        <i val="0"/>
      </font>
    </dxf>
    <dxf>
      <font>
        <b/>
        <i val="0"/>
      </font>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0</xdr:rowOff>
    </xdr:from>
    <xdr:to>
      <xdr:col>1</xdr:col>
      <xdr:colOff>3009900</xdr:colOff>
      <xdr:row>5</xdr:row>
      <xdr:rowOff>85725</xdr:rowOff>
    </xdr:to>
    <xdr:pic>
      <xdr:nvPicPr>
        <xdr:cNvPr id="1" name="1 Imagen"/>
        <xdr:cNvPicPr preferRelativeResize="1">
          <a:picLocks noChangeAspect="1"/>
        </xdr:cNvPicPr>
      </xdr:nvPicPr>
      <xdr:blipFill>
        <a:blip r:embed="rId1"/>
        <a:stretch>
          <a:fillRect/>
        </a:stretch>
      </xdr:blipFill>
      <xdr:spPr>
        <a:xfrm>
          <a:off x="333375" y="0"/>
          <a:ext cx="29241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K24"/>
  <sheetViews>
    <sheetView showGridLines="0" tabSelected="1" zoomScalePageLayoutView="0" workbookViewId="0" topLeftCell="A1">
      <selection activeCell="E24" sqref="E24"/>
    </sheetView>
  </sheetViews>
  <sheetFormatPr defaultColWidth="0" defaultRowHeight="12.75" zeroHeight="1"/>
  <cols>
    <col min="1" max="1" width="3.7109375" style="107" customWidth="1"/>
    <col min="2" max="2" width="49.140625" style="107" customWidth="1"/>
    <col min="3" max="3" width="33.8515625" style="107" customWidth="1"/>
    <col min="4" max="4" width="3.7109375" style="107" customWidth="1"/>
    <col min="5" max="5" width="64.28125" style="107" customWidth="1"/>
    <col min="6" max="6" width="20.7109375" style="107" bestFit="1" customWidth="1"/>
    <col min="7" max="7" width="4.421875" style="107" hidden="1" customWidth="1"/>
    <col min="8" max="8" width="21.00390625" style="121" hidden="1" customWidth="1"/>
    <col min="9" max="10" width="8.140625" style="121" hidden="1" customWidth="1"/>
    <col min="11" max="11" width="8.140625" style="123" hidden="1" customWidth="1"/>
    <col min="12" max="255" width="8.140625" style="116" hidden="1" customWidth="1"/>
    <col min="256" max="16384" width="0" style="116" hidden="1" customWidth="1"/>
  </cols>
  <sheetData>
    <row r="1" spans="1:11" ht="12.75">
      <c r="A1" s="114"/>
      <c r="B1" s="115"/>
      <c r="C1" s="115"/>
      <c r="D1" s="115"/>
      <c r="E1" s="115"/>
      <c r="F1" s="115"/>
      <c r="G1" s="115"/>
      <c r="H1" s="116" t="str">
        <f>+Características!B1</f>
        <v>TIV V-1 2024</v>
      </c>
      <c r="I1" s="116"/>
      <c r="J1" s="117"/>
      <c r="K1" s="118"/>
    </row>
    <row r="2" spans="1:10" ht="12.75">
      <c r="A2" s="114"/>
      <c r="B2" s="119"/>
      <c r="C2" s="202" t="s">
        <v>83</v>
      </c>
      <c r="D2" s="202"/>
      <c r="E2" s="202"/>
      <c r="F2" s="120"/>
      <c r="G2" s="120"/>
      <c r="J2" s="122"/>
    </row>
    <row r="3" spans="1:10" ht="15" customHeight="1">
      <c r="A3" s="114"/>
      <c r="B3" s="124"/>
      <c r="C3" s="125"/>
      <c r="D3" s="125"/>
      <c r="E3" s="124"/>
      <c r="F3" s="124"/>
      <c r="G3" s="124"/>
      <c r="J3" s="126"/>
    </row>
    <row r="4" spans="1:10" ht="15" customHeight="1">
      <c r="A4" s="114"/>
      <c r="B4" s="127"/>
      <c r="C4" s="95" t="s">
        <v>57</v>
      </c>
      <c r="D4" s="128"/>
      <c r="E4" s="129" t="s">
        <v>84</v>
      </c>
      <c r="G4" s="102"/>
      <c r="H4" s="116" t="s">
        <v>20</v>
      </c>
      <c r="J4" s="126"/>
    </row>
    <row r="5" spans="1:10" ht="15" customHeight="1">
      <c r="A5" s="114"/>
      <c r="B5" s="114"/>
      <c r="C5" s="96"/>
      <c r="F5" s="102"/>
      <c r="G5" s="102"/>
      <c r="H5" s="116" t="s">
        <v>38</v>
      </c>
      <c r="J5" s="126"/>
    </row>
    <row r="6" spans="1:10" ht="15" customHeight="1">
      <c r="A6" s="114"/>
      <c r="B6" s="127"/>
      <c r="C6" s="97" t="s">
        <v>58</v>
      </c>
      <c r="D6" s="97"/>
      <c r="E6" s="130">
        <v>44946</v>
      </c>
      <c r="F6" s="102"/>
      <c r="G6" s="102"/>
      <c r="H6" s="116" t="s">
        <v>39</v>
      </c>
      <c r="J6" s="126"/>
    </row>
    <row r="7" spans="1:10" ht="15" customHeight="1">
      <c r="A7" s="114"/>
      <c r="B7" s="114"/>
      <c r="C7" s="131"/>
      <c r="D7" s="131"/>
      <c r="E7" s="102"/>
      <c r="F7" s="102"/>
      <c r="G7" s="102"/>
      <c r="H7" s="116" t="s">
        <v>40</v>
      </c>
      <c r="J7" s="126"/>
    </row>
    <row r="8" spans="1:10" ht="27" customHeight="1">
      <c r="A8" s="114"/>
      <c r="B8" s="114"/>
      <c r="D8" s="102"/>
      <c r="E8" s="132" t="s">
        <v>81</v>
      </c>
      <c r="F8" s="113" t="s">
        <v>80</v>
      </c>
      <c r="G8" s="102"/>
      <c r="H8" s="133" t="s">
        <v>82</v>
      </c>
      <c r="J8" s="126"/>
    </row>
    <row r="9" spans="1:10" ht="15" customHeight="1">
      <c r="A9" s="114"/>
      <c r="B9" s="203" t="s">
        <v>59</v>
      </c>
      <c r="C9" s="204"/>
      <c r="D9" s="98"/>
      <c r="E9" s="205" t="s">
        <v>60</v>
      </c>
      <c r="F9" s="206"/>
      <c r="G9" s="102"/>
      <c r="H9" s="116" t="s">
        <v>21</v>
      </c>
      <c r="J9" s="126"/>
    </row>
    <row r="10" spans="1:10" ht="15" customHeight="1">
      <c r="A10" s="114"/>
      <c r="B10" s="99" t="s">
        <v>61</v>
      </c>
      <c r="C10" s="134" t="str">
        <f>+HLOOKUP(E4,Características!B1:C7,2,FALSE)</f>
        <v>TIVAV1200924</v>
      </c>
      <c r="D10" s="135"/>
      <c r="E10" s="109" t="s">
        <v>72</v>
      </c>
      <c r="F10" s="136" t="s">
        <v>21</v>
      </c>
      <c r="G10" s="102"/>
      <c r="J10" s="126"/>
    </row>
    <row r="11" spans="1:10" ht="15" customHeight="1">
      <c r="A11" s="127"/>
      <c r="B11" s="100" t="s">
        <v>46</v>
      </c>
      <c r="C11" s="137" t="str">
        <f>+HLOOKUP(E4,Características!B1:C7,3,FALSE)</f>
        <v>COT80CH02779</v>
      </c>
      <c r="D11" s="135"/>
      <c r="E11" s="110" t="s">
        <v>73</v>
      </c>
      <c r="F11" s="138">
        <v>0.078</v>
      </c>
      <c r="G11" s="102"/>
      <c r="J11" s="126"/>
    </row>
    <row r="12" spans="1:10" ht="15" customHeight="1">
      <c r="A12" s="127"/>
      <c r="B12" s="100" t="s">
        <v>62</v>
      </c>
      <c r="C12" s="139">
        <f>+HLOOKUP(E4,Características!B1:C7,4,1)</f>
        <v>43728</v>
      </c>
      <c r="D12" s="140"/>
      <c r="E12" s="111" t="s">
        <v>74</v>
      </c>
      <c r="F12" s="141">
        <v>99.994</v>
      </c>
      <c r="G12" s="102"/>
      <c r="J12" s="126"/>
    </row>
    <row r="13" spans="1:10" ht="12.75">
      <c r="A13" s="127"/>
      <c r="B13" s="100" t="s">
        <v>63</v>
      </c>
      <c r="C13" s="139">
        <f>+HLOOKUP(E4,Características!B1:C7,5,FALSE)</f>
        <v>45555</v>
      </c>
      <c r="D13" s="140"/>
      <c r="E13" s="112" t="s">
        <v>75</v>
      </c>
      <c r="F13" s="142">
        <v>99.994</v>
      </c>
      <c r="G13" s="102"/>
      <c r="J13" s="126"/>
    </row>
    <row r="14" spans="1:10" ht="12.75">
      <c r="A14" s="127"/>
      <c r="B14" s="100" t="s">
        <v>64</v>
      </c>
      <c r="C14" s="143">
        <f>+Características!B6</f>
        <v>0.078</v>
      </c>
      <c r="D14" s="140"/>
      <c r="E14" s="99" t="s">
        <v>76</v>
      </c>
      <c r="F14" s="144">
        <f>+VLOOKUP(0,Flujos!D2:I182,6,0)</f>
        <v>44977</v>
      </c>
      <c r="G14" s="102"/>
      <c r="J14" s="126"/>
    </row>
    <row r="15" spans="1:10" ht="12.75">
      <c r="A15" s="127"/>
      <c r="B15" s="100" t="s">
        <v>65</v>
      </c>
      <c r="C15" s="143">
        <f>+ROUND(((1+C14)^(1/12)-1)*12,6)</f>
        <v>0.075343</v>
      </c>
      <c r="D15" s="140"/>
      <c r="E15" s="98" t="s">
        <v>77</v>
      </c>
      <c r="F15" s="145">
        <f>+Flujos!C183*100</f>
        <v>2.950645</v>
      </c>
      <c r="G15" s="102"/>
      <c r="J15" s="126"/>
    </row>
    <row r="16" spans="1:10" ht="12.75">
      <c r="A16" s="127"/>
      <c r="B16" s="101" t="s">
        <v>66</v>
      </c>
      <c r="C16" s="146" t="str">
        <f>+HLOOKUP(E4,Características!B1:C7,7,FALSE)</f>
        <v>COP</v>
      </c>
      <c r="D16" s="140"/>
      <c r="E16" s="110" t="s">
        <v>78</v>
      </c>
      <c r="F16" s="147">
        <v>2369007189.713167</v>
      </c>
      <c r="G16" s="102"/>
      <c r="J16" s="126"/>
    </row>
    <row r="17" spans="1:10" ht="12.75">
      <c r="A17" s="114"/>
      <c r="B17" s="102"/>
      <c r="C17" s="102"/>
      <c r="D17" s="140"/>
      <c r="E17" s="112" t="s">
        <v>79</v>
      </c>
      <c r="F17" s="148">
        <f>+Características!B20</f>
        <v>2368865049</v>
      </c>
      <c r="G17" s="102"/>
      <c r="J17" s="126"/>
    </row>
    <row r="18" spans="1:10" ht="16.5" customHeight="1">
      <c r="A18" s="127"/>
      <c r="B18" s="103" t="s">
        <v>67</v>
      </c>
      <c r="C18" s="149">
        <f>+SUMPRODUCT(Flujos!B2:B182,Flujos!C2:C182)/Flujos!C183/365</f>
        <v>0.08493150684931507</v>
      </c>
      <c r="D18" s="150"/>
      <c r="E18" s="102"/>
      <c r="F18" s="131"/>
      <c r="G18" s="102"/>
      <c r="J18" s="126"/>
    </row>
    <row r="19" spans="1:10" ht="16.5" customHeight="1">
      <c r="A19" s="127"/>
      <c r="B19" s="104" t="s">
        <v>68</v>
      </c>
      <c r="C19" s="151">
        <f>+SUMPRODUCT(Flujos!C2:C182,Flujos!K2:K182)/365</f>
        <v>1.7550514727945203</v>
      </c>
      <c r="D19" s="114"/>
      <c r="E19" s="102"/>
      <c r="F19" s="152"/>
      <c r="G19" s="102"/>
      <c r="J19" s="126"/>
    </row>
    <row r="20" spans="1:10" ht="16.5" customHeight="1">
      <c r="A20" s="127"/>
      <c r="B20" s="105" t="s">
        <v>69</v>
      </c>
      <c r="C20" s="151">
        <f>+SUMPRODUCT(Flujos!B2:B182,Flujos!H2:H182)/Flujos!H183/365</f>
        <v>0.08493150684931508</v>
      </c>
      <c r="D20" s="114"/>
      <c r="E20" s="102"/>
      <c r="F20" s="152"/>
      <c r="G20" s="102"/>
      <c r="J20" s="126"/>
    </row>
    <row r="21" spans="1:10" ht="16.5" customHeight="1">
      <c r="A21" s="127"/>
      <c r="B21" s="106" t="s">
        <v>70</v>
      </c>
      <c r="C21" s="153">
        <f>+C20/(1+F11)</f>
        <v>0.07878618446133123</v>
      </c>
      <c r="E21" s="102"/>
      <c r="F21" s="152"/>
      <c r="G21" s="102"/>
      <c r="J21" s="126"/>
    </row>
    <row r="22" ht="12.75">
      <c r="J22" s="126"/>
    </row>
    <row r="23" spans="2:10" ht="12.75">
      <c r="B23" s="108" t="s">
        <v>71</v>
      </c>
      <c r="C23" s="154">
        <f>Flujos!L2</f>
        <v>80287774019.3472</v>
      </c>
      <c r="J23" s="126"/>
    </row>
    <row r="24" spans="5:10" ht="12.75">
      <c r="E24" s="155"/>
      <c r="F24" s="156"/>
      <c r="J24" s="126"/>
    </row>
  </sheetData>
  <sheetProtection password="C5F9" sheet="1" objects="1" scenarios="1"/>
  <protectedRanges>
    <protectedRange sqref="E6 E4" name="Rango1"/>
  </protectedRanges>
  <mergeCells count="3">
    <mergeCell ref="C2:E2"/>
    <mergeCell ref="B9:C9"/>
    <mergeCell ref="E9:F9"/>
  </mergeCells>
  <dataValidations count="2">
    <dataValidation type="list" showInputMessage="1" showErrorMessage="1" sqref="E4">
      <formula1>$H$1</formula1>
    </dataValidation>
    <dataValidation type="list" allowBlank="1" showInputMessage="1" showErrorMessage="1" sqref="F10">
      <formula1>$H$4:$H$9</formula1>
    </dataValidation>
  </dataValidations>
  <hyperlinks>
    <hyperlink ref="E8" location="Exclusión!A1" display="Exclusión de responsabilidad"/>
  </hyperlinks>
  <printOptions/>
  <pageMargins left="0.5905511811023623" right="0.5905511811023623" top="0.984251968503937" bottom="0.984251968503937" header="0" footer="0"/>
  <pageSetup horizontalDpi="600" verticalDpi="600" orientation="landscape" r:id="rId3"/>
  <ignoredErrors>
    <ignoredError sqref="F17" unlockedFormula="1"/>
    <ignoredError sqref="C11:C13 C15:C16" emptyCellReference="1"/>
  </ignoredErrors>
  <drawing r:id="rId2"/>
  <legacyDrawing r:id="rId1"/>
</worksheet>
</file>

<file path=xl/worksheets/sheet2.xml><?xml version="1.0" encoding="utf-8"?>
<worksheet xmlns="http://schemas.openxmlformats.org/spreadsheetml/2006/main" xmlns:r="http://schemas.openxmlformats.org/officeDocument/2006/relationships">
  <sheetPr codeName="Hoja4"/>
  <dimension ref="A1:F65536"/>
  <sheetViews>
    <sheetView zoomScalePageLayoutView="0" workbookViewId="0" topLeftCell="A1">
      <selection activeCell="B39" sqref="B39"/>
    </sheetView>
  </sheetViews>
  <sheetFormatPr defaultColWidth="21.140625" defaultRowHeight="12.75"/>
  <cols>
    <col min="1" max="1" width="25.7109375" style="1" customWidth="1"/>
    <col min="2" max="2" width="26.421875" style="6" bestFit="1" customWidth="1"/>
    <col min="3" max="3" width="21.421875" style="6" bestFit="1" customWidth="1"/>
    <col min="4" max="4" width="21.140625" style="1" customWidth="1"/>
    <col min="5" max="6" width="11.00390625" style="1" bestFit="1" customWidth="1"/>
    <col min="7" max="16384" width="21.140625" style="1" customWidth="1"/>
  </cols>
  <sheetData>
    <row r="1" spans="1:6" ht="12.75">
      <c r="A1" s="26" t="s">
        <v>2</v>
      </c>
      <c r="B1" s="2" t="s">
        <v>84</v>
      </c>
      <c r="E1" s="3"/>
      <c r="F1" s="3"/>
    </row>
    <row r="2" spans="1:6" ht="12.75">
      <c r="A2" s="7" t="s">
        <v>12</v>
      </c>
      <c r="B2" s="79" t="s">
        <v>85</v>
      </c>
      <c r="E2" s="3"/>
      <c r="F2" s="3"/>
    </row>
    <row r="3" spans="1:6" ht="12.75">
      <c r="A3" s="7" t="s">
        <v>46</v>
      </c>
      <c r="B3" s="79" t="s">
        <v>86</v>
      </c>
      <c r="E3" s="3"/>
      <c r="F3" s="3"/>
    </row>
    <row r="4" spans="1:6" ht="12.75">
      <c r="A4" s="7" t="s">
        <v>13</v>
      </c>
      <c r="B4" s="4">
        <v>43728</v>
      </c>
      <c r="C4" s="77"/>
      <c r="E4" s="3"/>
      <c r="F4" s="3"/>
    </row>
    <row r="5" spans="1:6" ht="15">
      <c r="A5" s="7" t="s">
        <v>14</v>
      </c>
      <c r="B5" s="4">
        <v>45555</v>
      </c>
      <c r="C5" s="78"/>
      <c r="E5" s="3"/>
      <c r="F5" s="3"/>
    </row>
    <row r="6" spans="1:6" ht="12.75">
      <c r="A6" s="7" t="s">
        <v>15</v>
      </c>
      <c r="B6" s="81">
        <v>0.078</v>
      </c>
      <c r="C6" s="33"/>
      <c r="E6" s="3"/>
      <c r="F6" s="3"/>
    </row>
    <row r="7" spans="1:6" ht="13.5" thickBot="1">
      <c r="A7" s="17" t="s">
        <v>16</v>
      </c>
      <c r="B7" s="5" t="s">
        <v>17</v>
      </c>
      <c r="E7" s="3"/>
      <c r="F7" s="3"/>
    </row>
    <row r="8" spans="5:6" ht="13.5" thickBot="1">
      <c r="E8" s="3"/>
      <c r="F8" s="3"/>
    </row>
    <row r="9" spans="1:6" ht="13.5" thickBot="1">
      <c r="A9" s="207" t="s">
        <v>26</v>
      </c>
      <c r="B9" s="208"/>
      <c r="E9" s="3"/>
      <c r="F9" s="3"/>
    </row>
    <row r="10" spans="1:6" ht="12.75">
      <c r="A10" s="7" t="s">
        <v>4</v>
      </c>
      <c r="B10" s="8">
        <f>+'CALCULADORA TIV V-1'!E6</f>
        <v>44946</v>
      </c>
      <c r="E10" s="3"/>
      <c r="F10" s="3"/>
    </row>
    <row r="11" spans="1:6" ht="12.75">
      <c r="A11" s="7" t="s">
        <v>5</v>
      </c>
      <c r="B11" s="8">
        <f>+VLOOKUP(B10,Flujos!$A$2:$A$182,1)</f>
        <v>44946</v>
      </c>
      <c r="E11" s="3"/>
      <c r="F11" s="3"/>
    </row>
    <row r="12" spans="1:6" ht="12.75">
      <c r="A12" s="7" t="s">
        <v>6</v>
      </c>
      <c r="B12" s="9">
        <f>+VLOOKUP(B11,Flujos!$A$2:$D$182,4)</f>
        <v>2.950645</v>
      </c>
      <c r="E12" s="3"/>
      <c r="F12" s="3"/>
    </row>
    <row r="13" spans="1:6" ht="12.75">
      <c r="A13" s="7" t="s">
        <v>7</v>
      </c>
      <c r="B13" s="9">
        <f>+VLOOKUP(_XLL.FECHA.MES(B10,1),Flujos!$A$2:$F$182,6)</f>
        <v>0.018527</v>
      </c>
      <c r="E13" s="3"/>
      <c r="F13" s="3"/>
    </row>
    <row r="14" spans="1:6" ht="12.75">
      <c r="A14" s="7" t="s">
        <v>3</v>
      </c>
      <c r="B14" s="10">
        <f>+DAYS360(B11,B10,TRUE)</f>
        <v>0</v>
      </c>
      <c r="E14" s="3"/>
      <c r="F14" s="3"/>
    </row>
    <row r="15" spans="1:6" ht="12.75">
      <c r="A15" s="7" t="s">
        <v>8</v>
      </c>
      <c r="B15" s="10">
        <v>30</v>
      </c>
      <c r="E15" s="3"/>
      <c r="F15" s="3"/>
    </row>
    <row r="16" spans="1:6" ht="12.75">
      <c r="A16" s="7" t="s">
        <v>9</v>
      </c>
      <c r="B16" s="11">
        <f>ROUND(B13/B12*B14/B15*100,4)</f>
        <v>0</v>
      </c>
      <c r="E16" s="3"/>
      <c r="F16" s="3"/>
    </row>
    <row r="17" spans="1:6" ht="12.75">
      <c r="A17" s="7" t="s">
        <v>11</v>
      </c>
      <c r="B17" s="12">
        <f>+'CALCULADORA TIV V-1'!F12</f>
        <v>99.994</v>
      </c>
      <c r="E17" s="3"/>
      <c r="F17" s="3"/>
    </row>
    <row r="18" spans="1:6" ht="12.75">
      <c r="A18" s="7" t="s">
        <v>23</v>
      </c>
      <c r="B18" s="13">
        <f>+'CALCULADORA TIV V-1'!F16</f>
        <v>2369007189.713167</v>
      </c>
      <c r="E18" s="3"/>
      <c r="F18" s="3"/>
    </row>
    <row r="19" spans="1:6" ht="12.75">
      <c r="A19" s="7" t="s">
        <v>16</v>
      </c>
      <c r="B19" s="11">
        <v>1</v>
      </c>
      <c r="E19" s="3"/>
      <c r="F19" s="3"/>
    </row>
    <row r="20" spans="1:6" ht="12.75">
      <c r="A20" s="7" t="s">
        <v>24</v>
      </c>
      <c r="B20" s="13">
        <f>ROUND(B18*B19*(B17+B16)/100,0)</f>
        <v>2368865049</v>
      </c>
      <c r="C20" s="14"/>
      <c r="E20" s="3"/>
      <c r="F20" s="3"/>
    </row>
    <row r="21" spans="1:6" ht="12.75">
      <c r="A21" s="7" t="s">
        <v>25</v>
      </c>
      <c r="B21" s="15">
        <f>TRUNC(B20/B18,5)</f>
        <v>0.99993</v>
      </c>
      <c r="C21" s="16"/>
      <c r="E21" s="3"/>
      <c r="F21" s="3"/>
    </row>
    <row r="22" spans="1:6" ht="12.75">
      <c r="A22" s="7" t="s">
        <v>27</v>
      </c>
      <c r="B22" s="12">
        <f>TRUNC(B21/B19*100,3)</f>
        <v>99.993</v>
      </c>
      <c r="E22" s="3"/>
      <c r="F22" s="3"/>
    </row>
    <row r="23" spans="1:6" ht="12.75">
      <c r="A23" s="7" t="s">
        <v>28</v>
      </c>
      <c r="B23" s="12">
        <f>TRUNC(Flujos!H183/VLOOKUP('CALCULADORA TIV V-1'!E6,Flujos!A2:D182,4)*100,3)</f>
        <v>99.988</v>
      </c>
      <c r="E23" s="3"/>
      <c r="F23" s="3"/>
    </row>
    <row r="24" spans="1:6" ht="12.75">
      <c r="A24" s="7" t="s">
        <v>29</v>
      </c>
      <c r="B24" s="11">
        <f>+B22-B23</f>
        <v>0.0049999999999954525</v>
      </c>
      <c r="E24" s="3"/>
      <c r="F24" s="3"/>
    </row>
    <row r="25" spans="1:6" ht="13.5" thickBot="1">
      <c r="A25" s="17" t="s">
        <v>30</v>
      </c>
      <c r="B25" s="18">
        <f>TRUNC('CALCULADORA TIV V-1'!F11,5)</f>
        <v>0.078</v>
      </c>
      <c r="E25" s="3"/>
      <c r="F25" s="3"/>
    </row>
    <row r="26" spans="5:6" ht="13.5" thickBot="1">
      <c r="E26" s="3"/>
      <c r="F26" s="3"/>
    </row>
    <row r="27" spans="1:6" ht="13.5" thickBot="1">
      <c r="A27" s="207" t="s">
        <v>37</v>
      </c>
      <c r="B27" s="208"/>
      <c r="E27" s="3"/>
      <c r="F27" s="3"/>
    </row>
    <row r="28" spans="1:6" ht="12.75">
      <c r="A28" s="7" t="s">
        <v>31</v>
      </c>
      <c r="B28" s="19">
        <f>TRUNC('CALCULADORA TIV V-1'!F11,5)</f>
        <v>0.078</v>
      </c>
      <c r="E28" s="3"/>
      <c r="F28" s="3"/>
    </row>
    <row r="29" spans="1:6" ht="12.75">
      <c r="A29" s="7" t="s">
        <v>28</v>
      </c>
      <c r="B29" s="12">
        <f>TRUNC(Flujos!H183/VLOOKUP('CALCULADORA TIV V-1'!E6,Flujos!A2:D182,4)*100,3)</f>
        <v>99.988</v>
      </c>
      <c r="E29" s="3"/>
      <c r="F29" s="3"/>
    </row>
    <row r="30" spans="1:6" ht="12.75">
      <c r="A30" s="1" t="s">
        <v>16</v>
      </c>
      <c r="B30" s="11">
        <v>1</v>
      </c>
      <c r="E30" s="3"/>
      <c r="F30" s="3"/>
    </row>
    <row r="31" spans="1:6" ht="12.75">
      <c r="A31" s="7" t="s">
        <v>23</v>
      </c>
      <c r="B31" s="13">
        <f>+'CALCULADORA TIV V-1'!F16</f>
        <v>2369007189.713167</v>
      </c>
      <c r="E31" s="3"/>
      <c r="F31" s="3"/>
    </row>
    <row r="32" spans="1:6" ht="12.75">
      <c r="A32" s="7" t="s">
        <v>24</v>
      </c>
      <c r="B32" s="13">
        <f>+ROUND(B29/100*B31*B30,0)</f>
        <v>2368722909</v>
      </c>
      <c r="E32" s="3"/>
      <c r="F32" s="3"/>
    </row>
    <row r="33" spans="1:6" ht="12.75">
      <c r="A33" s="7" t="s">
        <v>6</v>
      </c>
      <c r="B33" s="9">
        <f>+VLOOKUP(B11,Flujos!$A$2:$D$182,4)</f>
        <v>2.950645</v>
      </c>
      <c r="E33" s="3"/>
      <c r="F33" s="3"/>
    </row>
    <row r="34" spans="1:6" ht="12.75">
      <c r="A34" s="7" t="s">
        <v>7</v>
      </c>
      <c r="B34" s="9">
        <f>+VLOOKUP(_XLL.FECHA.MES(B10,1),Flujos!$A$2:$F$182,6)</f>
        <v>0.018527</v>
      </c>
      <c r="D34" s="20"/>
      <c r="E34" s="3"/>
      <c r="F34" s="3"/>
    </row>
    <row r="35" spans="1:6" ht="12.75">
      <c r="A35" s="7" t="s">
        <v>3</v>
      </c>
      <c r="B35" s="10">
        <f>+DAYS360(B11,B10,TRUE)</f>
        <v>0</v>
      </c>
      <c r="D35" s="21"/>
      <c r="E35" s="3"/>
      <c r="F35" s="3"/>
    </row>
    <row r="36" spans="1:6" ht="12.75">
      <c r="A36" s="7" t="s">
        <v>8</v>
      </c>
      <c r="B36" s="10">
        <v>30</v>
      </c>
      <c r="E36" s="3"/>
      <c r="F36" s="3"/>
    </row>
    <row r="37" spans="1:6" ht="12.75">
      <c r="A37" s="7" t="s">
        <v>25</v>
      </c>
      <c r="B37" s="15">
        <f>TRUNC(B32/(B30*B31),5)</f>
        <v>0.99988</v>
      </c>
      <c r="C37" s="22"/>
      <c r="E37" s="3"/>
      <c r="F37" s="3"/>
    </row>
    <row r="38" spans="1:6" ht="12.75">
      <c r="A38" s="7" t="s">
        <v>9</v>
      </c>
      <c r="B38" s="11">
        <f>ROUND(B34/B33*B35/B36,6)*100</f>
        <v>0</v>
      </c>
      <c r="E38" s="3"/>
      <c r="F38" s="3"/>
    </row>
    <row r="39" spans="1:6" ht="13.5" thickBot="1">
      <c r="A39" s="17" t="s">
        <v>11</v>
      </c>
      <c r="B39" s="23">
        <f>ROUND((B37-(B38/100))*100,3)</f>
        <v>99.988</v>
      </c>
      <c r="C39" s="24"/>
      <c r="E39" s="3"/>
      <c r="F39" s="3"/>
    </row>
    <row r="40" spans="2:6" ht="12.75">
      <c r="B40" s="24"/>
      <c r="E40" s="3"/>
      <c r="F40" s="3"/>
    </row>
    <row r="41" spans="2:6" ht="12.75">
      <c r="B41" s="22"/>
      <c r="E41" s="3"/>
      <c r="F41" s="3"/>
    </row>
    <row r="42" spans="2:6" ht="12.75">
      <c r="B42" s="2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78" spans="5:6" ht="12.75">
      <c r="E78" s="3"/>
      <c r="F78" s="3"/>
    </row>
    <row r="79" spans="5:6" ht="12.75">
      <c r="E79" s="3"/>
      <c r="F79" s="3"/>
    </row>
    <row r="80" spans="5:6" ht="12.75">
      <c r="E80" s="3"/>
      <c r="F80" s="3"/>
    </row>
    <row r="81" spans="5:6" ht="12.75">
      <c r="E81" s="3"/>
      <c r="F81" s="3"/>
    </row>
    <row r="82" spans="5:6" ht="12.75">
      <c r="E82" s="3"/>
      <c r="F82" s="3"/>
    </row>
    <row r="83" spans="5:6" ht="12.75">
      <c r="E83" s="3"/>
      <c r="F83" s="3"/>
    </row>
    <row r="84" spans="5:6" ht="12.75">
      <c r="E84" s="3"/>
      <c r="F84" s="3"/>
    </row>
    <row r="85" spans="5:6" ht="12.75">
      <c r="E85" s="3"/>
      <c r="F85" s="3"/>
    </row>
    <row r="86" spans="5:6" ht="12.75">
      <c r="E86" s="3"/>
      <c r="F86" s="3"/>
    </row>
    <row r="87" spans="5:6" ht="12.75">
      <c r="E87" s="3"/>
      <c r="F87" s="3"/>
    </row>
    <row r="88" spans="5:6" ht="12.75">
      <c r="E88" s="3"/>
      <c r="F88" s="3"/>
    </row>
    <row r="89" spans="5:6" ht="12.75">
      <c r="E89" s="3"/>
      <c r="F89" s="3"/>
    </row>
    <row r="90" spans="5:6" ht="12.75">
      <c r="E90" s="3"/>
      <c r="F90" s="3"/>
    </row>
    <row r="91" spans="5:6" ht="12.75">
      <c r="E91" s="3"/>
      <c r="F91" s="3"/>
    </row>
    <row r="92" spans="5:6" ht="12.75">
      <c r="E92" s="3"/>
      <c r="F92" s="3"/>
    </row>
    <row r="93" spans="5:6" ht="12.75">
      <c r="E93" s="3"/>
      <c r="F93" s="3"/>
    </row>
    <row r="94" spans="5:6" ht="12.75">
      <c r="E94" s="3"/>
      <c r="F94" s="3"/>
    </row>
    <row r="95" spans="5:6" ht="12.75">
      <c r="E95" s="3"/>
      <c r="F95" s="3"/>
    </row>
    <row r="96" spans="5:6" ht="12.75">
      <c r="E96" s="3"/>
      <c r="F96" s="3"/>
    </row>
    <row r="97" spans="5:6" ht="12.75">
      <c r="E97" s="3"/>
      <c r="F97" s="3"/>
    </row>
    <row r="98" spans="5:6" ht="12.75">
      <c r="E98" s="3"/>
      <c r="F98" s="3"/>
    </row>
    <row r="99" spans="5:6" ht="12.75">
      <c r="E99" s="3"/>
      <c r="F99" s="3"/>
    </row>
    <row r="100" spans="5:6" ht="12.75">
      <c r="E100" s="3"/>
      <c r="F100" s="3"/>
    </row>
    <row r="101" spans="5:6" ht="12.75">
      <c r="E101" s="3"/>
      <c r="F101" s="3"/>
    </row>
    <row r="102" spans="5:6" ht="12.75">
      <c r="E102" s="3"/>
      <c r="F102" s="3"/>
    </row>
    <row r="103" spans="5:6" ht="12.75">
      <c r="E103" s="3"/>
      <c r="F103" s="3"/>
    </row>
    <row r="104" spans="5:6" ht="12.75">
      <c r="E104" s="3"/>
      <c r="F104" s="3"/>
    </row>
    <row r="105" spans="5:6" ht="12.75">
      <c r="E105" s="3"/>
      <c r="F105" s="3"/>
    </row>
    <row r="106" spans="5:6" ht="12.75">
      <c r="E106" s="3"/>
      <c r="F106" s="3"/>
    </row>
    <row r="107" spans="5:6" ht="12.75">
      <c r="E107" s="3"/>
      <c r="F107" s="3"/>
    </row>
    <row r="108" spans="5:6" ht="12.75">
      <c r="E108" s="3"/>
      <c r="F108" s="3"/>
    </row>
    <row r="109" spans="5:6" ht="12.75">
      <c r="E109" s="3"/>
      <c r="F109" s="3"/>
    </row>
    <row r="110" spans="5:6" ht="12.75">
      <c r="E110" s="3"/>
      <c r="F110" s="3"/>
    </row>
    <row r="111" spans="5:6" ht="12.75">
      <c r="E111" s="3"/>
      <c r="F111" s="3"/>
    </row>
    <row r="112" spans="5:6" ht="12.75">
      <c r="E112" s="3"/>
      <c r="F112" s="3"/>
    </row>
    <row r="113" spans="5:6" ht="12.75">
      <c r="E113" s="3"/>
      <c r="F113" s="3"/>
    </row>
    <row r="114" spans="5:6" ht="12.75">
      <c r="E114" s="3"/>
      <c r="F114" s="3"/>
    </row>
    <row r="115" spans="5:6" ht="12.75">
      <c r="E115" s="3"/>
      <c r="F115" s="3"/>
    </row>
    <row r="116" spans="5:6" ht="12.75">
      <c r="E116" s="3"/>
      <c r="F116" s="3"/>
    </row>
    <row r="117" spans="5:6" ht="12.75">
      <c r="E117" s="3"/>
      <c r="F117" s="3"/>
    </row>
    <row r="118" spans="5:6" ht="12.75">
      <c r="E118" s="3"/>
      <c r="F118" s="3"/>
    </row>
    <row r="119" spans="5:6" ht="12.75">
      <c r="E119" s="3"/>
      <c r="F119" s="3"/>
    </row>
    <row r="120" spans="5:6" ht="12.75">
      <c r="E120" s="3"/>
      <c r="F120" s="3"/>
    </row>
    <row r="121" spans="5:6" ht="12.75">
      <c r="E121" s="3"/>
      <c r="F121" s="3"/>
    </row>
    <row r="122" spans="5:6" ht="12.75">
      <c r="E122" s="3"/>
      <c r="F122" s="3"/>
    </row>
    <row r="123" spans="5:6" ht="12.75">
      <c r="E123" s="3"/>
      <c r="F123" s="3"/>
    </row>
    <row r="124" spans="5:6" ht="12.75">
      <c r="E124" s="3"/>
      <c r="F124" s="3"/>
    </row>
    <row r="125" spans="5:6" ht="12.75">
      <c r="E125" s="3"/>
      <c r="F125" s="3"/>
    </row>
    <row r="126" spans="5:6" ht="12.75">
      <c r="E126" s="3"/>
      <c r="F126" s="3"/>
    </row>
    <row r="127" spans="5:6" ht="12.75">
      <c r="E127" s="3"/>
      <c r="F127" s="3"/>
    </row>
    <row r="128" spans="5:6" ht="12.75">
      <c r="E128" s="3"/>
      <c r="F128" s="3"/>
    </row>
    <row r="129" spans="5:6" ht="12.75">
      <c r="E129" s="3"/>
      <c r="F129" s="3"/>
    </row>
    <row r="130" spans="5:6" ht="12.75">
      <c r="E130" s="3"/>
      <c r="F130" s="3"/>
    </row>
    <row r="131" spans="5:6" ht="12.75">
      <c r="E131" s="3"/>
      <c r="F131" s="3"/>
    </row>
    <row r="132" spans="5:6" ht="12.75">
      <c r="E132" s="3"/>
      <c r="F132" s="3"/>
    </row>
    <row r="133" spans="5:6" ht="12.75">
      <c r="E133" s="3"/>
      <c r="F133" s="3"/>
    </row>
    <row r="134" spans="5:6" ht="12.75">
      <c r="E134" s="3"/>
      <c r="F134" s="3"/>
    </row>
    <row r="135" spans="5:6" ht="12.75">
      <c r="E135" s="3"/>
      <c r="F135" s="3"/>
    </row>
    <row r="136" spans="5:6" ht="12.75">
      <c r="E136" s="3"/>
      <c r="F136" s="3"/>
    </row>
    <row r="137" spans="5:6" ht="12.75">
      <c r="E137" s="3"/>
      <c r="F137" s="3"/>
    </row>
    <row r="138" spans="5:6" ht="12.75">
      <c r="E138" s="3"/>
      <c r="F138" s="3"/>
    </row>
    <row r="139" spans="5:6" ht="12.75">
      <c r="E139" s="3"/>
      <c r="F139" s="3"/>
    </row>
    <row r="140" spans="5:6" ht="12.75">
      <c r="E140" s="3"/>
      <c r="F140" s="3"/>
    </row>
    <row r="141" spans="5:6" ht="12.75">
      <c r="E141" s="3"/>
      <c r="F141" s="3"/>
    </row>
    <row r="142" spans="5:6" ht="12.75">
      <c r="E142" s="3"/>
      <c r="F142" s="3"/>
    </row>
    <row r="143" spans="5:6" ht="12.75">
      <c r="E143" s="3"/>
      <c r="F143" s="3"/>
    </row>
    <row r="144" spans="5:6" ht="12.75">
      <c r="E144" s="3"/>
      <c r="F144" s="3"/>
    </row>
    <row r="145" spans="5:6" ht="12.75">
      <c r="E145" s="3"/>
      <c r="F145" s="3"/>
    </row>
    <row r="146" spans="5:6" ht="12.75">
      <c r="E146" s="3"/>
      <c r="F146" s="3"/>
    </row>
    <row r="147" spans="5:6" ht="12.75">
      <c r="E147" s="3"/>
      <c r="F147" s="3"/>
    </row>
    <row r="148" spans="5:6" ht="12.75">
      <c r="E148" s="3"/>
      <c r="F148" s="3"/>
    </row>
    <row r="149" spans="5:6" ht="12.75">
      <c r="E149" s="3"/>
      <c r="F149" s="3"/>
    </row>
    <row r="150" spans="5:6" ht="12.75">
      <c r="E150" s="3"/>
      <c r="F150" s="3"/>
    </row>
    <row r="151" spans="5:6" ht="12.75">
      <c r="E151" s="3"/>
      <c r="F151" s="3"/>
    </row>
    <row r="152" spans="5:6" ht="12.75">
      <c r="E152" s="3"/>
      <c r="F152" s="3"/>
    </row>
    <row r="153" spans="5:6" ht="12.75">
      <c r="E153" s="3"/>
      <c r="F153" s="3"/>
    </row>
    <row r="154" spans="5:6" ht="12.75">
      <c r="E154" s="3"/>
      <c r="F154" s="3"/>
    </row>
    <row r="155" spans="5:6" ht="12.75">
      <c r="E155" s="3"/>
      <c r="F155" s="3"/>
    </row>
    <row r="156" spans="5:6" ht="12.75">
      <c r="E156" s="3"/>
      <c r="F156" s="3"/>
    </row>
    <row r="157" spans="5:6" ht="12.75">
      <c r="E157" s="3"/>
      <c r="F157" s="3"/>
    </row>
    <row r="158" spans="5:6" ht="12.75">
      <c r="E158" s="3"/>
      <c r="F158" s="3"/>
    </row>
    <row r="159" spans="5:6" ht="12.75">
      <c r="E159" s="3"/>
      <c r="F159" s="3"/>
    </row>
    <row r="160" spans="5:6" ht="12.75">
      <c r="E160" s="3"/>
      <c r="F160" s="3"/>
    </row>
    <row r="161" spans="5:6" ht="12.75">
      <c r="E161" s="3"/>
      <c r="F161" s="3"/>
    </row>
    <row r="162" spans="5:6" ht="12.75">
      <c r="E162" s="3"/>
      <c r="F162" s="3"/>
    </row>
    <row r="163" spans="5:6" ht="12.75">
      <c r="E163" s="3"/>
      <c r="F163" s="3"/>
    </row>
    <row r="164" spans="5:6" ht="12.75">
      <c r="E164" s="3"/>
      <c r="F164" s="3"/>
    </row>
    <row r="165" spans="5:6" ht="12.75">
      <c r="E165" s="3"/>
      <c r="F165" s="3"/>
    </row>
    <row r="166" spans="5:6" ht="12.75">
      <c r="E166" s="3"/>
      <c r="F166" s="3"/>
    </row>
    <row r="167" spans="5:6" ht="12.75">
      <c r="E167" s="3"/>
      <c r="F167" s="3"/>
    </row>
    <row r="168" spans="5:6" ht="12.75">
      <c r="E168" s="3"/>
      <c r="F168" s="3"/>
    </row>
    <row r="169" spans="5:6" ht="12.75">
      <c r="E169" s="3"/>
      <c r="F169" s="3"/>
    </row>
    <row r="170" spans="5:6" ht="12.75">
      <c r="E170" s="3"/>
      <c r="F170" s="3"/>
    </row>
    <row r="171" spans="5:6" ht="12.75">
      <c r="E171" s="3"/>
      <c r="F171" s="3"/>
    </row>
    <row r="172" spans="5:6" ht="12.75">
      <c r="E172" s="3"/>
      <c r="F172" s="3"/>
    </row>
    <row r="173" spans="5:6" ht="12.75">
      <c r="E173" s="3"/>
      <c r="F173" s="3"/>
    </row>
    <row r="174" spans="5:6" ht="12.75">
      <c r="E174" s="3"/>
      <c r="F174" s="3"/>
    </row>
    <row r="175" spans="5:6" ht="12.75">
      <c r="E175" s="3"/>
      <c r="F175" s="3"/>
    </row>
    <row r="176" spans="5:6" ht="12.75">
      <c r="E176" s="3"/>
      <c r="F176" s="3"/>
    </row>
    <row r="177" spans="5:6" ht="12.75">
      <c r="E177" s="3"/>
      <c r="F177" s="3"/>
    </row>
    <row r="178" spans="5:6" ht="12.75">
      <c r="E178" s="3"/>
      <c r="F178" s="3"/>
    </row>
    <row r="179" spans="5:6" ht="12.75">
      <c r="E179" s="3"/>
      <c r="F179" s="3"/>
    </row>
    <row r="180" spans="5:6" ht="12.75">
      <c r="E180" s="3"/>
      <c r="F180" s="3"/>
    </row>
    <row r="181" spans="5:6" ht="12.75">
      <c r="E181" s="3"/>
      <c r="F181" s="3"/>
    </row>
    <row r="182" spans="5:6" ht="12.75">
      <c r="E182" s="3"/>
      <c r="F182" s="3"/>
    </row>
    <row r="183" spans="5:6" ht="12.75">
      <c r="E183" s="3"/>
      <c r="F183" s="3"/>
    </row>
    <row r="184" spans="5:6" ht="12.75">
      <c r="E184" s="3"/>
      <c r="F184" s="3"/>
    </row>
    <row r="185" spans="5:6" ht="12.75">
      <c r="E185" s="3"/>
      <c r="F185" s="3"/>
    </row>
    <row r="186" spans="5:6" ht="12.75">
      <c r="E186" s="3"/>
      <c r="F186" s="3"/>
    </row>
    <row r="187" spans="5:6" ht="12.75">
      <c r="E187" s="3"/>
      <c r="F187" s="3"/>
    </row>
    <row r="188" spans="5:6" ht="12.75">
      <c r="E188" s="3"/>
      <c r="F188" s="3"/>
    </row>
    <row r="189" spans="5:6" ht="12.75">
      <c r="E189" s="3"/>
      <c r="F189" s="3"/>
    </row>
    <row r="190" spans="5:6" ht="12.75">
      <c r="E190" s="3"/>
      <c r="F190" s="3"/>
    </row>
    <row r="191" spans="5:6" ht="12.75">
      <c r="E191" s="3"/>
      <c r="F191" s="3"/>
    </row>
    <row r="192" spans="5:6" ht="12.75">
      <c r="E192" s="3"/>
      <c r="F192" s="3"/>
    </row>
    <row r="193" spans="5:6" ht="12.75">
      <c r="E193" s="3"/>
      <c r="F193" s="3"/>
    </row>
    <row r="194" spans="5:6" ht="12.75">
      <c r="E194" s="3"/>
      <c r="F194" s="3"/>
    </row>
    <row r="195" spans="5:6" ht="12.75">
      <c r="E195" s="3"/>
      <c r="F195" s="3"/>
    </row>
    <row r="196" spans="5:6" ht="12.75">
      <c r="E196" s="3"/>
      <c r="F196" s="3"/>
    </row>
    <row r="197" spans="5:6" ht="12.75">
      <c r="E197" s="3"/>
      <c r="F197" s="3"/>
    </row>
    <row r="198" spans="5:6" ht="12.75">
      <c r="E198" s="3"/>
      <c r="F198" s="3"/>
    </row>
    <row r="199" spans="5:6" ht="12.75">
      <c r="E199" s="3"/>
      <c r="F199" s="3"/>
    </row>
    <row r="200" spans="5:6" ht="12.75">
      <c r="E200" s="3"/>
      <c r="F200" s="3"/>
    </row>
    <row r="201" spans="5:6" ht="12.75">
      <c r="E201" s="3"/>
      <c r="F201" s="3"/>
    </row>
    <row r="202" spans="5:6" ht="12.75">
      <c r="E202" s="3"/>
      <c r="F202" s="3"/>
    </row>
    <row r="203" spans="5:6" ht="12.75">
      <c r="E203" s="3"/>
      <c r="F203" s="3"/>
    </row>
    <row r="204" spans="5:6" ht="12.75">
      <c r="E204" s="3"/>
      <c r="F204" s="3"/>
    </row>
    <row r="205" spans="5:6" ht="12.75">
      <c r="E205" s="3"/>
      <c r="F205" s="3"/>
    </row>
    <row r="206" spans="5:6" ht="12.75">
      <c r="E206" s="3"/>
      <c r="F206" s="3"/>
    </row>
    <row r="207" spans="5:6" ht="12.75">
      <c r="E207" s="3"/>
      <c r="F207" s="3"/>
    </row>
    <row r="208" spans="5:6" ht="12.75">
      <c r="E208" s="3"/>
      <c r="F208" s="3"/>
    </row>
    <row r="209" spans="5:6" ht="12.75">
      <c r="E209" s="3"/>
      <c r="F209" s="3"/>
    </row>
    <row r="210" spans="5:6" ht="12.75">
      <c r="E210" s="3"/>
      <c r="F210" s="3"/>
    </row>
    <row r="211" spans="5:6" ht="12.75">
      <c r="E211" s="3"/>
      <c r="F211" s="3"/>
    </row>
    <row r="212" spans="5:6" ht="12.75">
      <c r="E212" s="3"/>
      <c r="F212" s="3"/>
    </row>
    <row r="213" spans="5:6" ht="12.75">
      <c r="E213" s="3"/>
      <c r="F213" s="3"/>
    </row>
    <row r="214" spans="5:6" ht="12.75">
      <c r="E214" s="3"/>
      <c r="F214" s="3"/>
    </row>
    <row r="215" spans="5:6" ht="12.75">
      <c r="E215" s="3"/>
      <c r="F215" s="3"/>
    </row>
    <row r="216" spans="5:6" ht="12.75">
      <c r="E216" s="3"/>
      <c r="F216" s="3"/>
    </row>
    <row r="217" spans="5:6" ht="12.75">
      <c r="E217" s="3"/>
      <c r="F217" s="3"/>
    </row>
    <row r="218" spans="5:6" ht="12.75">
      <c r="E218" s="3"/>
      <c r="F218" s="3"/>
    </row>
    <row r="219" spans="5:6" ht="12.75">
      <c r="E219" s="3"/>
      <c r="F219" s="3"/>
    </row>
    <row r="220" spans="5:6" ht="12.75">
      <c r="E220" s="3"/>
      <c r="F220" s="3"/>
    </row>
    <row r="221" spans="5:6" ht="12.75">
      <c r="E221" s="3"/>
      <c r="F221" s="3"/>
    </row>
    <row r="222" spans="5:6" ht="12.75">
      <c r="E222" s="3"/>
      <c r="F222" s="3"/>
    </row>
    <row r="223" spans="5:6" ht="12.75">
      <c r="E223" s="3"/>
      <c r="F223" s="3"/>
    </row>
    <row r="224" spans="5:6" ht="12.75">
      <c r="E224" s="3"/>
      <c r="F224" s="3"/>
    </row>
    <row r="225" spans="5:6" ht="12.75">
      <c r="E225" s="3"/>
      <c r="F225" s="3"/>
    </row>
    <row r="226" spans="5:6" ht="12.75">
      <c r="E226" s="3"/>
      <c r="F226" s="3"/>
    </row>
    <row r="227" spans="5:6" ht="12.75">
      <c r="E227" s="3"/>
      <c r="F227" s="3"/>
    </row>
    <row r="228" spans="5:6" ht="12.75">
      <c r="E228" s="3"/>
      <c r="F228" s="3"/>
    </row>
    <row r="229" spans="5:6" ht="12.75">
      <c r="E229" s="3"/>
      <c r="F229" s="3"/>
    </row>
    <row r="230" spans="5:6" ht="12.75">
      <c r="E230" s="3"/>
      <c r="F230" s="3"/>
    </row>
    <row r="231" spans="5:6" ht="12.75">
      <c r="E231" s="3"/>
      <c r="F231" s="3"/>
    </row>
    <row r="232" spans="5:6" ht="12.75">
      <c r="E232" s="3"/>
      <c r="F232" s="3"/>
    </row>
    <row r="233" spans="5:6" ht="12.75">
      <c r="E233" s="3"/>
      <c r="F233" s="3"/>
    </row>
    <row r="234" spans="5:6" ht="12.75">
      <c r="E234" s="3"/>
      <c r="F234" s="3"/>
    </row>
    <row r="235" spans="5:6" ht="12.75">
      <c r="E235" s="3"/>
      <c r="F235" s="3"/>
    </row>
    <row r="236" spans="5:6" ht="12.75">
      <c r="E236" s="3"/>
      <c r="F236" s="3"/>
    </row>
    <row r="237" spans="5:6" ht="12.75">
      <c r="E237" s="3"/>
      <c r="F237" s="3"/>
    </row>
    <row r="238" spans="5:6" ht="12.75">
      <c r="E238" s="3"/>
      <c r="F238" s="3"/>
    </row>
    <row r="239" spans="5:6" ht="12.75">
      <c r="E239" s="3"/>
      <c r="F239" s="3"/>
    </row>
    <row r="240" spans="5:6" ht="12.75">
      <c r="E240" s="3"/>
      <c r="F240" s="3"/>
    </row>
    <row r="65536" ht="12.75">
      <c r="E65536" s="3"/>
    </row>
  </sheetData>
  <sheetProtection password="C5F9" sheet="1"/>
  <mergeCells count="2">
    <mergeCell ref="A9:B9"/>
    <mergeCell ref="A27:B27"/>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2"/>
  <dimension ref="A1:O183"/>
  <sheetViews>
    <sheetView zoomScalePageLayoutView="0" workbookViewId="0" topLeftCell="A1">
      <selection activeCell="L32" sqref="L32"/>
    </sheetView>
  </sheetViews>
  <sheetFormatPr defaultColWidth="0" defaultRowHeight="12.75"/>
  <cols>
    <col min="1" max="1" width="10.140625" style="57" bestFit="1" customWidth="1"/>
    <col min="2" max="2" width="12.28125" style="34" bestFit="1" customWidth="1"/>
    <col min="3" max="3" width="14.140625" style="61" bestFit="1" customWidth="1"/>
    <col min="4" max="4" width="12.57421875" style="61" hidden="1" customWidth="1"/>
    <col min="5" max="5" width="13.7109375" style="34" hidden="1" customWidth="1"/>
    <col min="6" max="6" width="15.421875" style="34" hidden="1" customWidth="1"/>
    <col min="7" max="7" width="11.8515625" style="34" hidden="1" customWidth="1"/>
    <col min="8" max="8" width="10.7109375" style="34" hidden="1" customWidth="1"/>
    <col min="9" max="9" width="10.140625" style="57" hidden="1" customWidth="1"/>
    <col min="10" max="10" width="10.7109375" style="57" hidden="1" customWidth="1"/>
    <col min="11" max="11" width="13.00390625" style="57" hidden="1" customWidth="1"/>
    <col min="12" max="12" width="16.57421875" style="34" bestFit="1" customWidth="1"/>
    <col min="13" max="13" width="16.7109375" style="34" bestFit="1" customWidth="1"/>
    <col min="14" max="14" width="17.28125" style="34" bestFit="1" customWidth="1"/>
    <col min="15" max="15" width="16.57421875" style="34" bestFit="1" customWidth="1"/>
    <col min="16" max="16384" width="0" style="34" hidden="1" customWidth="1"/>
  </cols>
  <sheetData>
    <row r="1" spans="1:15" s="62" customFormat="1" ht="26.25" thickBot="1">
      <c r="A1" s="87" t="s">
        <v>50</v>
      </c>
      <c r="B1" s="88" t="s">
        <v>51</v>
      </c>
      <c r="C1" s="89" t="s">
        <v>52</v>
      </c>
      <c r="D1" s="89" t="s">
        <v>32</v>
      </c>
      <c r="E1" s="88" t="s">
        <v>33</v>
      </c>
      <c r="F1" s="88" t="s">
        <v>34</v>
      </c>
      <c r="G1" s="88" t="s">
        <v>35</v>
      </c>
      <c r="H1" s="90" t="s">
        <v>10</v>
      </c>
      <c r="I1" s="91" t="s">
        <v>18</v>
      </c>
      <c r="J1" s="92" t="s">
        <v>19</v>
      </c>
      <c r="K1" s="93" t="s">
        <v>22</v>
      </c>
      <c r="L1" s="87" t="s">
        <v>53</v>
      </c>
      <c r="M1" s="89" t="s">
        <v>54</v>
      </c>
      <c r="N1" s="89" t="s">
        <v>55</v>
      </c>
      <c r="O1" s="94" t="s">
        <v>56</v>
      </c>
    </row>
    <row r="2" spans="1:15" s="27" customFormat="1" ht="12.75">
      <c r="A2" s="159">
        <v>43728</v>
      </c>
      <c r="B2" s="63">
        <f>IF(DIAS365('CALCULADORA TIV V-1'!$E$6,A2)&lt;0,0,DIAS365('CALCULADORA TIV V-1'!$E$6,A2))</f>
        <v>0</v>
      </c>
      <c r="C2" s="64">
        <v>0</v>
      </c>
      <c r="D2" s="80">
        <f>+'CALCULADORA TIV V-1'!F15/Flujos!C183</f>
        <v>100</v>
      </c>
      <c r="E2" s="65">
        <v>0</v>
      </c>
      <c r="F2" s="65">
        <v>0</v>
      </c>
      <c r="G2" s="65">
        <f>F2+E2</f>
        <v>0</v>
      </c>
      <c r="H2" s="66">
        <f>IF($B2&lt;0,0,G2/POWER(1+'CALCULADORA TIV V-1'!$F$11,Flujos!$B2/365))</f>
        <v>0</v>
      </c>
      <c r="I2" s="67">
        <f>+A2</f>
        <v>43728</v>
      </c>
      <c r="J2" s="6">
        <v>0</v>
      </c>
      <c r="K2" s="68">
        <v>0</v>
      </c>
      <c r="L2" s="72">
        <f>Características!B18/Flujos!C183</f>
        <v>80287774019.3472</v>
      </c>
      <c r="M2" s="69">
        <v>0</v>
      </c>
      <c r="N2" s="69">
        <v>0</v>
      </c>
      <c r="O2" s="70">
        <f>+N2+M2</f>
        <v>0</v>
      </c>
    </row>
    <row r="3" spans="1:15" s="27" customFormat="1" ht="12.75">
      <c r="A3" s="159">
        <v>43758</v>
      </c>
      <c r="B3" s="63">
        <f>IF(DIAS365('CALCULADORA TIV V-1'!$E$6,A3)&lt;0,0,DIAS365('CALCULADORA TIV V-1'!$E$6,A3))</f>
        <v>0</v>
      </c>
      <c r="C3" s="64">
        <f>+HLOOKUP('CALCULADORA TIV V-1'!$E$4,Tablas!$B$1:$B$181,Flujos!J3+1,FALSE)</f>
        <v>0.0225</v>
      </c>
      <c r="D3" s="80">
        <f aca="true" t="shared" si="0" ref="D3:D66">IF(+ROUND(D2-E3,15)&lt;0.000001,0,ROUND(D2-E3,15))</f>
        <v>97.75</v>
      </c>
      <c r="E3" s="65">
        <f>ROUND(C3*$D$2,6)</f>
        <v>2.25</v>
      </c>
      <c r="F3" s="65">
        <f>ROUND(D2*ROUND(((1+'CALCULADORA TIV V-1'!$C$14)^(1/12)-1),6),6)</f>
        <v>0.6279</v>
      </c>
      <c r="G3" s="65">
        <f>F3+E3</f>
        <v>2.8779</v>
      </c>
      <c r="H3" s="66">
        <f>IF($B3=0,0,G3/POWER(1+'CALCULADORA TIV V-1'!$F$11,Flujos!$B3/365))</f>
        <v>0</v>
      </c>
      <c r="I3" s="67">
        <f aca="true" t="shared" si="1" ref="I3:I66">+A3</f>
        <v>43758</v>
      </c>
      <c r="J3" s="6">
        <v>1</v>
      </c>
      <c r="K3" s="68">
        <f>+DIAS365($A$2,A3)</f>
        <v>30</v>
      </c>
      <c r="L3" s="72">
        <f>IF(+(L2-M3)&lt;0,0,(L2-M3))</f>
        <v>78481299103.91188</v>
      </c>
      <c r="M3" s="69">
        <f>+$L$2*C3</f>
        <v>1806474915.4353118</v>
      </c>
      <c r="N3" s="69">
        <f>+L2*$F$3%</f>
        <v>504126933.06748104</v>
      </c>
      <c r="O3" s="70">
        <f>+N3+M3</f>
        <v>2310601848.502793</v>
      </c>
    </row>
    <row r="4" spans="1:15" s="27" customFormat="1" ht="12.75">
      <c r="A4" s="159">
        <v>43789</v>
      </c>
      <c r="B4" s="63">
        <f>IF(DIAS365('CALCULADORA TIV V-1'!$E$6,A4)&lt;0,0,DIAS365('CALCULADORA TIV V-1'!$E$6,A4))</f>
        <v>0</v>
      </c>
      <c r="C4" s="64">
        <f>+HLOOKUP('CALCULADORA TIV V-1'!$E$4,Tablas!$B$1:$B$181,Flujos!J4+1,FALSE)</f>
        <v>0.0225</v>
      </c>
      <c r="D4" s="80">
        <f t="shared" si="0"/>
        <v>95.5</v>
      </c>
      <c r="E4" s="65">
        <f aca="true" t="shared" si="2" ref="E4:E67">ROUND(C4*$D$2,6)</f>
        <v>2.25</v>
      </c>
      <c r="F4" s="65">
        <f>ROUND(D3*ROUND(((1+'CALCULADORA TIV V-1'!$C$14)^(1/12)-1),6),6)</f>
        <v>0.613772</v>
      </c>
      <c r="G4" s="65">
        <f aca="true" t="shared" si="3" ref="G4:G67">F4+E4</f>
        <v>2.863772</v>
      </c>
      <c r="H4" s="66">
        <f>IF($B4=0,0,G4/POWER(1+'CALCULADORA TIV V-1'!$F$11,Flujos!$B4/365))</f>
        <v>0</v>
      </c>
      <c r="I4" s="67">
        <f t="shared" si="1"/>
        <v>43789</v>
      </c>
      <c r="J4" s="6">
        <v>2</v>
      </c>
      <c r="K4" s="68">
        <f aca="true" t="shared" si="4" ref="K4:K67">+DIAS365($A$2,A4)</f>
        <v>61</v>
      </c>
      <c r="L4" s="72">
        <f aca="true" t="shared" si="5" ref="L4:L67">IF(+(L3-M4)&lt;0,0,(L3-M4))</f>
        <v>76674824188.47656</v>
      </c>
      <c r="M4" s="69">
        <f aca="true" t="shared" si="6" ref="M4:M67">+$L$2*C4</f>
        <v>1806474915.4353118</v>
      </c>
      <c r="N4" s="69">
        <f aca="true" t="shared" si="7" ref="N4:N67">+L3*$F$3%</f>
        <v>492784077.07346267</v>
      </c>
      <c r="O4" s="70">
        <f aca="true" t="shared" si="8" ref="O4:O67">+N4+M4</f>
        <v>2299258992.5087743</v>
      </c>
    </row>
    <row r="5" spans="1:15" s="164" customFormat="1" ht="12.75">
      <c r="A5" s="159">
        <v>43819</v>
      </c>
      <c r="B5" s="63">
        <f>IF(DIAS365('CALCULADORA TIV V-1'!$E$6,A5)&lt;0,0,DIAS365('CALCULADORA TIV V-1'!$E$6,A5))</f>
        <v>0</v>
      </c>
      <c r="C5" s="64">
        <f>+HLOOKUP('CALCULADORA TIV V-1'!$E$4,Tablas!$B$1:$B$181,Flujos!J5+1,FALSE)</f>
        <v>0.0225</v>
      </c>
      <c r="D5" s="80">
        <f t="shared" si="0"/>
        <v>93.25</v>
      </c>
      <c r="E5" s="65">
        <f t="shared" si="2"/>
        <v>2.25</v>
      </c>
      <c r="F5" s="65">
        <f>ROUND(D4*ROUND(((1+'CALCULADORA TIV V-1'!$C$14)^(1/12)-1),6),6)</f>
        <v>0.599645</v>
      </c>
      <c r="G5" s="65">
        <f t="shared" si="3"/>
        <v>2.8496449999999998</v>
      </c>
      <c r="H5" s="66">
        <f>IF($B5=0,0,G5/POWER(1+'CALCULADORA TIV V-1'!$F$11,Flujos!$B5/365))</f>
        <v>0</v>
      </c>
      <c r="I5" s="67">
        <f t="shared" si="1"/>
        <v>43819</v>
      </c>
      <c r="J5" s="6">
        <v>3</v>
      </c>
      <c r="K5" s="68">
        <f t="shared" si="4"/>
        <v>91</v>
      </c>
      <c r="L5" s="72">
        <f t="shared" si="5"/>
        <v>74868349273.04124</v>
      </c>
      <c r="M5" s="69">
        <f t="shared" si="6"/>
        <v>1806474915.4353118</v>
      </c>
      <c r="N5" s="69">
        <f t="shared" si="7"/>
        <v>481441221.07944435</v>
      </c>
      <c r="O5" s="70">
        <f t="shared" si="8"/>
        <v>2287916136.514756</v>
      </c>
    </row>
    <row r="6" spans="1:15" s="27" customFormat="1" ht="12.75">
      <c r="A6" s="159">
        <v>43850</v>
      </c>
      <c r="B6" s="63">
        <f>IF(DIAS365('CALCULADORA TIV V-1'!$E$6,A6)&lt;0,0,DIAS365('CALCULADORA TIV V-1'!$E$6,A6))</f>
        <v>0</v>
      </c>
      <c r="C6" s="64">
        <f>+HLOOKUP('CALCULADORA TIV V-1'!$E$4,Tablas!$B$1:$B$181,Flujos!J6+1,FALSE)</f>
        <v>0.0225</v>
      </c>
      <c r="D6" s="80">
        <f t="shared" si="0"/>
        <v>91</v>
      </c>
      <c r="E6" s="65">
        <f t="shared" si="2"/>
        <v>2.25</v>
      </c>
      <c r="F6" s="65">
        <f>ROUND(D5*ROUND(((1+'CALCULADORA TIV V-1'!$C$14)^(1/12)-1),6),6)</f>
        <v>0.585517</v>
      </c>
      <c r="G6" s="65">
        <f t="shared" si="3"/>
        <v>2.835517</v>
      </c>
      <c r="H6" s="66">
        <f>IF($B6=0,0,G6/POWER(1+'CALCULADORA TIV V-1'!$F$11,Flujos!$B6/365))</f>
        <v>0</v>
      </c>
      <c r="I6" s="67">
        <f t="shared" si="1"/>
        <v>43850</v>
      </c>
      <c r="J6" s="6">
        <v>4</v>
      </c>
      <c r="K6" s="68">
        <f t="shared" si="4"/>
        <v>122</v>
      </c>
      <c r="L6" s="72">
        <f t="shared" si="5"/>
        <v>73061874357.60593</v>
      </c>
      <c r="M6" s="69">
        <f t="shared" si="6"/>
        <v>1806474915.4353118</v>
      </c>
      <c r="N6" s="69">
        <f t="shared" si="7"/>
        <v>470098365.085426</v>
      </c>
      <c r="O6" s="70">
        <f t="shared" si="8"/>
        <v>2276573280.5207376</v>
      </c>
    </row>
    <row r="7" spans="1:15" s="27" customFormat="1" ht="12.75">
      <c r="A7" s="159">
        <v>43881</v>
      </c>
      <c r="B7" s="63">
        <f>IF(DIAS365('CALCULADORA TIV V-1'!$E$6,A7)&lt;0,0,DIAS365('CALCULADORA TIV V-1'!$E$6,A7))</f>
        <v>0</v>
      </c>
      <c r="C7" s="64">
        <f>+HLOOKUP('CALCULADORA TIV V-1'!$E$4,Tablas!$B$1:$B$181,Flujos!J7+1,FALSE)</f>
        <v>0.0225</v>
      </c>
      <c r="D7" s="80">
        <f t="shared" si="0"/>
        <v>88.75</v>
      </c>
      <c r="E7" s="65">
        <f t="shared" si="2"/>
        <v>2.25</v>
      </c>
      <c r="F7" s="65">
        <f>ROUND(D6*ROUND(((1+'CALCULADORA TIV V-1'!$C$14)^(1/12)-1),6),6)</f>
        <v>0.571389</v>
      </c>
      <c r="G7" s="65">
        <f t="shared" si="3"/>
        <v>2.821389</v>
      </c>
      <c r="H7" s="66">
        <f>IF($B7=0,0,G7/POWER(1+'CALCULADORA TIV V-1'!$F$11,Flujos!$B7/365))</f>
        <v>0</v>
      </c>
      <c r="I7" s="67">
        <f t="shared" si="1"/>
        <v>43881</v>
      </c>
      <c r="J7" s="6">
        <v>5</v>
      </c>
      <c r="K7" s="68">
        <f t="shared" si="4"/>
        <v>153</v>
      </c>
      <c r="L7" s="72">
        <f t="shared" si="5"/>
        <v>71255399442.17061</v>
      </c>
      <c r="M7" s="69">
        <f t="shared" si="6"/>
        <v>1806474915.4353118</v>
      </c>
      <c r="N7" s="69">
        <f t="shared" si="7"/>
        <v>458755509.0914076</v>
      </c>
      <c r="O7" s="70">
        <f t="shared" si="8"/>
        <v>2265230424.5267196</v>
      </c>
    </row>
    <row r="8" spans="1:15" s="27" customFormat="1" ht="12.75">
      <c r="A8" s="159">
        <v>43910</v>
      </c>
      <c r="B8" s="63">
        <f>IF(DIAS365('CALCULADORA TIV V-1'!$E$6,A8)&lt;0,0,DIAS365('CALCULADORA TIV V-1'!$E$6,A8))</f>
        <v>0</v>
      </c>
      <c r="C8" s="64">
        <f>+HLOOKUP('CALCULADORA TIV V-1'!$E$4,Tablas!$B$1:$B$181,Flujos!J8+1,FALSE)</f>
        <v>0.0225</v>
      </c>
      <c r="D8" s="80">
        <f t="shared" si="0"/>
        <v>86.5</v>
      </c>
      <c r="E8" s="65">
        <f t="shared" si="2"/>
        <v>2.25</v>
      </c>
      <c r="F8" s="65">
        <f>ROUND(D7*ROUND(((1+'CALCULADORA TIV V-1'!$C$14)^(1/12)-1),6),6)</f>
        <v>0.557261</v>
      </c>
      <c r="G8" s="65">
        <f t="shared" si="3"/>
        <v>2.807261</v>
      </c>
      <c r="H8" s="66">
        <f>IF($B8=0,0,G8/POWER(1+'CALCULADORA TIV V-1'!$F$11,Flujos!$B8/365))</f>
        <v>0</v>
      </c>
      <c r="I8" s="67">
        <f t="shared" si="1"/>
        <v>43910</v>
      </c>
      <c r="J8" s="6">
        <v>6</v>
      </c>
      <c r="K8" s="68">
        <f t="shared" si="4"/>
        <v>181</v>
      </c>
      <c r="L8" s="72">
        <f t="shared" si="5"/>
        <v>69448924526.73529</v>
      </c>
      <c r="M8" s="69">
        <f t="shared" si="6"/>
        <v>1806474915.4353118</v>
      </c>
      <c r="N8" s="69">
        <f t="shared" si="7"/>
        <v>447412653.0973892</v>
      </c>
      <c r="O8" s="70">
        <f t="shared" si="8"/>
        <v>2253887568.532701</v>
      </c>
    </row>
    <row r="9" spans="1:15" s="27" customFormat="1" ht="12.75">
      <c r="A9" s="159">
        <v>43941</v>
      </c>
      <c r="B9" s="63">
        <f>IF(DIAS365('CALCULADORA TIV V-1'!$E$6,A9)&lt;0,0,DIAS365('CALCULADORA TIV V-1'!$E$6,A9))</f>
        <v>0</v>
      </c>
      <c r="C9" s="64">
        <f>+HLOOKUP('CALCULADORA TIV V-1'!$E$4,Tablas!$B$1:$B$181,Flujos!J9+1,FALSE)</f>
        <v>0.02739424</v>
      </c>
      <c r="D9" s="80">
        <f t="shared" si="0"/>
        <v>83.760576</v>
      </c>
      <c r="E9" s="65">
        <f t="shared" si="2"/>
        <v>2.739424</v>
      </c>
      <c r="F9" s="65">
        <f>ROUND(D8*ROUND(((1+'CALCULADORA TIV V-1'!$C$14)^(1/12)-1),6),6)</f>
        <v>0.543134</v>
      </c>
      <c r="G9" s="65">
        <f t="shared" si="3"/>
        <v>3.282558</v>
      </c>
      <c r="H9" s="66">
        <f>IF($B9=0,0,G9/POWER(1+'CALCULADORA TIV V-1'!$F$11,Flujos!$B9/365))</f>
        <v>0</v>
      </c>
      <c r="I9" s="67">
        <f t="shared" si="1"/>
        <v>43941</v>
      </c>
      <c r="J9" s="6">
        <v>7</v>
      </c>
      <c r="K9" s="68">
        <f t="shared" si="4"/>
        <v>212</v>
      </c>
      <c r="L9" s="72">
        <f t="shared" si="5"/>
        <v>67249501976.18353</v>
      </c>
      <c r="M9" s="69">
        <f t="shared" si="6"/>
        <v>2199422550.5517616</v>
      </c>
      <c r="N9" s="69">
        <f t="shared" si="7"/>
        <v>436069797.1033709</v>
      </c>
      <c r="O9" s="70">
        <f t="shared" si="8"/>
        <v>2635492347.6551323</v>
      </c>
    </row>
    <row r="10" spans="1:15" s="27" customFormat="1" ht="12.75">
      <c r="A10" s="159">
        <v>43971</v>
      </c>
      <c r="B10" s="63">
        <f>IF(DIAS365('CALCULADORA TIV V-1'!$E$6,A10)&lt;0,0,DIAS365('CALCULADORA TIV V-1'!$E$6,A10))</f>
        <v>0</v>
      </c>
      <c r="C10" s="64">
        <f>+HLOOKUP('CALCULADORA TIV V-1'!$E$4,Tablas!$B$1:$B$181,Flujos!J10+1,FALSE)</f>
        <v>0.02897453</v>
      </c>
      <c r="D10" s="80">
        <f t="shared" si="0"/>
        <v>80.863123</v>
      </c>
      <c r="E10" s="65">
        <f t="shared" si="2"/>
        <v>2.897453</v>
      </c>
      <c r="F10" s="65">
        <f>ROUND(D9*ROUND(((1+'CALCULADORA TIV V-1'!$C$14)^(1/12)-1),6),6)</f>
        <v>0.525933</v>
      </c>
      <c r="G10" s="65">
        <f t="shared" si="3"/>
        <v>3.423386</v>
      </c>
      <c r="H10" s="66">
        <f>IF($B10=0,0,G10/POWER(1+'CALCULADORA TIV V-1'!$F$11,Flujos!$B10/365))</f>
        <v>0</v>
      </c>
      <c r="I10" s="67">
        <f t="shared" si="1"/>
        <v>43971</v>
      </c>
      <c r="J10" s="6">
        <v>8</v>
      </c>
      <c r="K10" s="68">
        <f t="shared" si="4"/>
        <v>242</v>
      </c>
      <c r="L10" s="72">
        <f t="shared" si="5"/>
        <v>64923201459.22674</v>
      </c>
      <c r="M10" s="69">
        <f t="shared" si="6"/>
        <v>2326300516.9567957</v>
      </c>
      <c r="N10" s="69">
        <f t="shared" si="7"/>
        <v>422259622.9084564</v>
      </c>
      <c r="O10" s="70">
        <f t="shared" si="8"/>
        <v>2748560139.865252</v>
      </c>
    </row>
    <row r="11" spans="1:15" s="27" customFormat="1" ht="12.75">
      <c r="A11" s="159">
        <v>44002</v>
      </c>
      <c r="B11" s="63">
        <f>IF(DIAS365('CALCULADORA TIV V-1'!$E$6,A11)&lt;0,0,DIAS365('CALCULADORA TIV V-1'!$E$6,A11))</f>
        <v>0</v>
      </c>
      <c r="C11" s="64">
        <f>+HLOOKUP('CALCULADORA TIV V-1'!$E$4,Tablas!$B$1:$B$181,Flujos!J11+1,FALSE)</f>
        <v>0.04062193</v>
      </c>
      <c r="D11" s="80">
        <f t="shared" si="0"/>
        <v>76.80093</v>
      </c>
      <c r="E11" s="65">
        <f t="shared" si="2"/>
        <v>4.062193</v>
      </c>
      <c r="F11" s="65">
        <f>ROUND(D10*ROUND(((1+'CALCULADORA TIV V-1'!$C$14)^(1/12)-1),6),6)</f>
        <v>0.50774</v>
      </c>
      <c r="G11" s="65">
        <f t="shared" si="3"/>
        <v>4.569933</v>
      </c>
      <c r="H11" s="66">
        <f>IF($B11=0,0,G11/POWER(1+'CALCULADORA TIV V-1'!$F$11,Flujos!$B11/365))</f>
        <v>0</v>
      </c>
      <c r="I11" s="67">
        <f t="shared" si="1"/>
        <v>44002</v>
      </c>
      <c r="J11" s="6">
        <v>9</v>
      </c>
      <c r="K11" s="68">
        <f t="shared" si="4"/>
        <v>273</v>
      </c>
      <c r="L11" s="72">
        <f t="shared" si="5"/>
        <v>61661757123.157</v>
      </c>
      <c r="M11" s="69">
        <f t="shared" si="6"/>
        <v>3261444336.069741</v>
      </c>
      <c r="N11" s="69">
        <f t="shared" si="7"/>
        <v>407652781.96248466</v>
      </c>
      <c r="O11" s="70">
        <f t="shared" si="8"/>
        <v>3669097118.0322256</v>
      </c>
    </row>
    <row r="12" spans="1:15" s="27" customFormat="1" ht="12.75">
      <c r="A12" s="168">
        <v>44032</v>
      </c>
      <c r="B12" s="169">
        <f>IF(DIAS365('CALCULADORA TIV V-1'!$E$6,A12)&lt;0,0,DIAS365('CALCULADORA TIV V-1'!$E$6,A12))</f>
        <v>0</v>
      </c>
      <c r="C12" s="170">
        <f>+HLOOKUP('CALCULADORA TIV V-1'!$E$4,Tablas!$B$1:$B$181,Flujos!J12+1,FALSE)</f>
        <v>0.04297112</v>
      </c>
      <c r="D12" s="76">
        <f t="shared" si="0"/>
        <v>72.503818</v>
      </c>
      <c r="E12" s="171">
        <f t="shared" si="2"/>
        <v>4.297112</v>
      </c>
      <c r="F12" s="171">
        <f>ROUND(D11*ROUND(((1+'CALCULADORA TIV V-1'!$C$14)^(1/12)-1),6),6)</f>
        <v>0.482233</v>
      </c>
      <c r="G12" s="171">
        <f t="shared" si="3"/>
        <v>4.779345</v>
      </c>
      <c r="H12" s="172">
        <f>IF($B12=0,0,G12/POWER(1+'CALCULADORA TIV V-1'!$F$11,Flujos!$B12/365))</f>
        <v>0</v>
      </c>
      <c r="I12" s="173">
        <f t="shared" si="1"/>
        <v>44032</v>
      </c>
      <c r="J12" s="83">
        <v>10</v>
      </c>
      <c r="K12" s="174">
        <f t="shared" si="4"/>
        <v>303</v>
      </c>
      <c r="L12" s="175">
        <f t="shared" si="5"/>
        <v>58211701551.23875</v>
      </c>
      <c r="M12" s="176">
        <f t="shared" si="6"/>
        <v>3450055571.918251</v>
      </c>
      <c r="N12" s="176">
        <f t="shared" si="7"/>
        <v>387174172.9763028</v>
      </c>
      <c r="O12" s="177">
        <f t="shared" si="8"/>
        <v>3837229744.8945537</v>
      </c>
    </row>
    <row r="13" spans="1:15" s="27" customFormat="1" ht="12.75">
      <c r="A13" s="168">
        <v>44063</v>
      </c>
      <c r="B13" s="169">
        <f>IF(DIAS365('CALCULADORA TIV V-1'!$E$6,A13)&lt;0,0,DIAS365('CALCULADORA TIV V-1'!$E$6,A13))</f>
        <v>0</v>
      </c>
      <c r="C13" s="170">
        <f>+HLOOKUP('CALCULADORA TIV V-1'!$E$4,Tablas!$B$1:$B$181,Flujos!J13+1,FALSE)</f>
        <v>0.05026259</v>
      </c>
      <c r="D13" s="76">
        <f t="shared" si="0"/>
        <v>67.477559</v>
      </c>
      <c r="E13" s="171">
        <f t="shared" si="2"/>
        <v>5.026259</v>
      </c>
      <c r="F13" s="171">
        <f>ROUND(D12*ROUND(((1+'CALCULADORA TIV V-1'!$C$14)^(1/12)-1),6),6)</f>
        <v>0.455251</v>
      </c>
      <c r="G13" s="171">
        <f t="shared" si="3"/>
        <v>5.481509999999999</v>
      </c>
      <c r="H13" s="172">
        <f>IF($B13=0,0,G13/POWER(1+'CALCULADORA TIV V-1'!$F$11,Flujos!$B13/365))</f>
        <v>0</v>
      </c>
      <c r="I13" s="173">
        <f t="shared" si="1"/>
        <v>44063</v>
      </c>
      <c r="J13" s="83">
        <v>11</v>
      </c>
      <c r="K13" s="174">
        <f t="shared" si="4"/>
        <v>334</v>
      </c>
      <c r="L13" s="175">
        <f t="shared" si="5"/>
        <v>54176230083.69164</v>
      </c>
      <c r="M13" s="176">
        <f t="shared" si="6"/>
        <v>4035471467.5471005</v>
      </c>
      <c r="N13" s="176">
        <f t="shared" si="7"/>
        <v>365511274.04022807</v>
      </c>
      <c r="O13" s="177">
        <f t="shared" si="8"/>
        <v>4400982741.587329</v>
      </c>
    </row>
    <row r="14" spans="1:15" s="27" customFormat="1" ht="12.75">
      <c r="A14" s="168">
        <v>44094</v>
      </c>
      <c r="B14" s="169">
        <f>IF(DIAS365('CALCULADORA TIV V-1'!$E$6,A14)&lt;0,0,DIAS365('CALCULADORA TIV V-1'!$E$6,A14))</f>
        <v>0</v>
      </c>
      <c r="C14" s="170">
        <f>+HLOOKUP('CALCULADORA TIV V-1'!$E$4,Tablas!$B$1:$B$181,Flujos!J14+1,FALSE)</f>
        <v>0.0459419</v>
      </c>
      <c r="D14" s="76">
        <f t="shared" si="0"/>
        <v>62.883369</v>
      </c>
      <c r="E14" s="171">
        <f t="shared" si="2"/>
        <v>4.59419</v>
      </c>
      <c r="F14" s="171">
        <f>ROUND(D13*ROUND(((1+'CALCULADORA TIV V-1'!$C$14)^(1/12)-1),6),6)</f>
        <v>0.423692</v>
      </c>
      <c r="G14" s="171">
        <f t="shared" si="3"/>
        <v>5.017882</v>
      </c>
      <c r="H14" s="172">
        <f>IF($B14=0,0,G14/POWER(1+'CALCULADORA TIV V-1'!$F$11,Flujos!$B14/365))</f>
        <v>0</v>
      </c>
      <c r="I14" s="173">
        <f t="shared" si="1"/>
        <v>44094</v>
      </c>
      <c r="J14" s="83">
        <v>12</v>
      </c>
      <c r="K14" s="174">
        <f t="shared" si="4"/>
        <v>365</v>
      </c>
      <c r="L14" s="175">
        <f t="shared" si="5"/>
        <v>50487657198.4722</v>
      </c>
      <c r="M14" s="176">
        <f t="shared" si="6"/>
        <v>3688572885.219447</v>
      </c>
      <c r="N14" s="176">
        <f t="shared" si="7"/>
        <v>340172548.69549984</v>
      </c>
      <c r="O14" s="177">
        <f t="shared" si="8"/>
        <v>4028745433.914947</v>
      </c>
    </row>
    <row r="15" spans="1:15" s="27" customFormat="1" ht="12.75">
      <c r="A15" s="159">
        <v>44124</v>
      </c>
      <c r="B15" s="63">
        <f>IF(DIAS365('CALCULADORA TIV V-1'!$E$6,A15)&lt;0,0,DIAS365('CALCULADORA TIV V-1'!$E$6,A15))</f>
        <v>0</v>
      </c>
      <c r="C15" s="64">
        <f>+HLOOKUP('CALCULADORA TIV V-1'!$E$4,Tablas!$B$1:$B$181,Flujos!J15+1,FALSE)</f>
        <v>0.04913667</v>
      </c>
      <c r="D15" s="80">
        <f t="shared" si="0"/>
        <v>57.969702</v>
      </c>
      <c r="E15" s="65">
        <f t="shared" si="2"/>
        <v>4.913667</v>
      </c>
      <c r="F15" s="65">
        <f>ROUND(D14*ROUND(((1+'CALCULADORA TIV V-1'!$C$14)^(1/12)-1),6),6)</f>
        <v>0.394845</v>
      </c>
      <c r="G15" s="65">
        <f t="shared" si="3"/>
        <v>5.308512</v>
      </c>
      <c r="H15" s="66">
        <f>IF($B15=0,0,G15/POWER(1+'CALCULADORA TIV V-1'!$F$11,Flujos!$B15/365))</f>
        <v>0</v>
      </c>
      <c r="I15" s="67">
        <f t="shared" si="1"/>
        <v>44124</v>
      </c>
      <c r="J15" s="6">
        <v>13</v>
      </c>
      <c r="K15" s="68">
        <f t="shared" si="4"/>
        <v>395</v>
      </c>
      <c r="L15" s="72">
        <f t="shared" si="5"/>
        <v>46542583341.44896</v>
      </c>
      <c r="M15" s="69">
        <f t="shared" si="6"/>
        <v>3945073857.0232368</v>
      </c>
      <c r="N15" s="69">
        <f t="shared" si="7"/>
        <v>317011999.5492069</v>
      </c>
      <c r="O15" s="70">
        <f t="shared" si="8"/>
        <v>4262085856.5724435</v>
      </c>
    </row>
    <row r="16" spans="1:15" s="27" customFormat="1" ht="12.75">
      <c r="A16" s="159">
        <v>44155</v>
      </c>
      <c r="B16" s="63">
        <f>IF(DIAS365('CALCULADORA TIV V-1'!$E$6,A16)&lt;0,0,DIAS365('CALCULADORA TIV V-1'!$E$6,A16))</f>
        <v>0</v>
      </c>
      <c r="C16" s="64">
        <f>+HLOOKUP('CALCULADORA TIV V-1'!$E$4,Tablas!$B$1:$B$181,Flujos!J16+1,FALSE)</f>
        <v>0.0562933</v>
      </c>
      <c r="D16" s="80">
        <f t="shared" si="0"/>
        <v>52.340372</v>
      </c>
      <c r="E16" s="65">
        <f t="shared" si="2"/>
        <v>5.62933</v>
      </c>
      <c r="F16" s="65">
        <f>ROUND(D15*ROUND(((1+'CALCULADORA TIV V-1'!$C$14)^(1/12)-1),6),6)</f>
        <v>0.363992</v>
      </c>
      <c r="G16" s="65">
        <f t="shared" si="3"/>
        <v>5.993322</v>
      </c>
      <c r="H16" s="66">
        <f>IF($B16=0,0,G16/POWER(1+'CALCULADORA TIV V-1'!$F$11,Flujos!$B16/365))</f>
        <v>0</v>
      </c>
      <c r="I16" s="67">
        <f t="shared" si="1"/>
        <v>44155</v>
      </c>
      <c r="J16" s="6">
        <v>14</v>
      </c>
      <c r="K16" s="68">
        <f t="shared" si="4"/>
        <v>426</v>
      </c>
      <c r="L16" s="72">
        <f t="shared" si="5"/>
        <v>42022919592.24564</v>
      </c>
      <c r="M16" s="69">
        <f t="shared" si="6"/>
        <v>4519663749.203318</v>
      </c>
      <c r="N16" s="69">
        <f t="shared" si="7"/>
        <v>292240880.80095804</v>
      </c>
      <c r="O16" s="70">
        <f t="shared" si="8"/>
        <v>4811904630.004275</v>
      </c>
    </row>
    <row r="17" spans="1:15" s="157" customFormat="1" ht="12.75">
      <c r="A17" s="159">
        <v>44185</v>
      </c>
      <c r="B17" s="63">
        <f>IF(DIAS365('CALCULADORA TIV V-1'!$E$6,A17)&lt;0,0,DIAS365('CALCULADORA TIV V-1'!$E$6,A17))</f>
        <v>0</v>
      </c>
      <c r="C17" s="64">
        <f>+HLOOKUP('CALCULADORA TIV V-1'!$E$4,Tablas!$B$1:$B$181,Flujos!J17+1,FALSE)</f>
        <v>0</v>
      </c>
      <c r="D17" s="80">
        <f t="shared" si="0"/>
        <v>52.340372</v>
      </c>
      <c r="E17" s="65">
        <f t="shared" si="2"/>
        <v>0</v>
      </c>
      <c r="F17" s="65">
        <f>ROUND(D16*ROUND(((1+'CALCULADORA TIV V-1'!$C$14)^(1/12)-1),6),6)</f>
        <v>0.328645</v>
      </c>
      <c r="G17" s="65">
        <f t="shared" si="3"/>
        <v>0.328645</v>
      </c>
      <c r="H17" s="66">
        <f>IF($B17=0,0,G17/POWER(1+'CALCULADORA TIV V-1'!$F$11,Flujos!$B17/365))</f>
        <v>0</v>
      </c>
      <c r="I17" s="67">
        <f t="shared" si="1"/>
        <v>44185</v>
      </c>
      <c r="J17" s="6">
        <v>15</v>
      </c>
      <c r="K17" s="68">
        <f t="shared" si="4"/>
        <v>456</v>
      </c>
      <c r="L17" s="72">
        <f t="shared" si="5"/>
        <v>42022919592.24564</v>
      </c>
      <c r="M17" s="69">
        <f t="shared" si="6"/>
        <v>0</v>
      </c>
      <c r="N17" s="69">
        <f t="shared" si="7"/>
        <v>263861912.1197104</v>
      </c>
      <c r="O17" s="70">
        <f t="shared" si="8"/>
        <v>263861912.1197104</v>
      </c>
    </row>
    <row r="18" spans="1:15" ht="12.75">
      <c r="A18" s="159">
        <v>44216</v>
      </c>
      <c r="B18" s="63">
        <f>IF(DIAS365('CALCULADORA TIV V-1'!$E$6,A18)&lt;0,0,DIAS365('CALCULADORA TIV V-1'!$E$6,A18))</f>
        <v>0</v>
      </c>
      <c r="C18" s="64">
        <f>+HLOOKUP('CALCULADORA TIV V-1'!$E$4,Tablas!$B$1:$B$181,Flujos!J18+1,FALSE)</f>
        <v>0</v>
      </c>
      <c r="D18" s="80">
        <f t="shared" si="0"/>
        <v>52.340372</v>
      </c>
      <c r="E18" s="65">
        <f t="shared" si="2"/>
        <v>0</v>
      </c>
      <c r="F18" s="65">
        <f>ROUND(D17*ROUND(((1+'CALCULADORA TIV V-1'!$C$14)^(1/12)-1),6),6)</f>
        <v>0.328645</v>
      </c>
      <c r="G18" s="65">
        <f t="shared" si="3"/>
        <v>0.328645</v>
      </c>
      <c r="H18" s="66">
        <f>IF($B18=0,0,G18/POWER(1+'CALCULADORA TIV V-1'!$F$11,Flujos!$B18/365))</f>
        <v>0</v>
      </c>
      <c r="I18" s="67">
        <f t="shared" si="1"/>
        <v>44216</v>
      </c>
      <c r="J18" s="6">
        <v>16</v>
      </c>
      <c r="K18" s="68">
        <f t="shared" si="4"/>
        <v>487</v>
      </c>
      <c r="L18" s="72">
        <f t="shared" si="5"/>
        <v>42022919592.24564</v>
      </c>
      <c r="M18" s="69">
        <f t="shared" si="6"/>
        <v>0</v>
      </c>
      <c r="N18" s="69">
        <f t="shared" si="7"/>
        <v>263861912.1197104</v>
      </c>
      <c r="O18" s="70">
        <f t="shared" si="8"/>
        <v>263861912.1197104</v>
      </c>
    </row>
    <row r="19" spans="1:15" ht="12.75">
      <c r="A19" s="159">
        <v>44247</v>
      </c>
      <c r="B19" s="63">
        <f>IF(DIAS365('CALCULADORA TIV V-1'!$E$6,A19)&lt;0,0,DIAS365('CALCULADORA TIV V-1'!$E$6,A19))</f>
        <v>0</v>
      </c>
      <c r="C19" s="64">
        <f>+HLOOKUP('CALCULADORA TIV V-1'!$E$4,Tablas!$B$1:$B$181,Flujos!J19+1,FALSE)</f>
        <v>0</v>
      </c>
      <c r="D19" s="80">
        <f t="shared" si="0"/>
        <v>52.340372</v>
      </c>
      <c r="E19" s="65">
        <f t="shared" si="2"/>
        <v>0</v>
      </c>
      <c r="F19" s="65">
        <f>ROUND(D18*ROUND(((1+'CALCULADORA TIV V-1'!$C$14)^(1/12)-1),6),6)</f>
        <v>0.328645</v>
      </c>
      <c r="G19" s="65">
        <f t="shared" si="3"/>
        <v>0.328645</v>
      </c>
      <c r="H19" s="66">
        <f>IF($B19=0,0,G19/POWER(1+'CALCULADORA TIV V-1'!$F$11,Flujos!$B19/365))</f>
        <v>0</v>
      </c>
      <c r="I19" s="67">
        <f t="shared" si="1"/>
        <v>44247</v>
      </c>
      <c r="J19" s="6">
        <v>17</v>
      </c>
      <c r="K19" s="68">
        <f t="shared" si="4"/>
        <v>518</v>
      </c>
      <c r="L19" s="72">
        <f t="shared" si="5"/>
        <v>42022919592.24564</v>
      </c>
      <c r="M19" s="69">
        <f t="shared" si="6"/>
        <v>0</v>
      </c>
      <c r="N19" s="69">
        <f t="shared" si="7"/>
        <v>263861912.1197104</v>
      </c>
      <c r="O19" s="70">
        <f t="shared" si="8"/>
        <v>263861912.1197104</v>
      </c>
    </row>
    <row r="20" spans="1:15" ht="12.75">
      <c r="A20" s="159">
        <v>44275</v>
      </c>
      <c r="B20" s="63">
        <f>IF(DIAS365('CALCULADORA TIV V-1'!$E$6,A20)&lt;0,0,DIAS365('CALCULADORA TIV V-1'!$E$6,A20))</f>
        <v>0</v>
      </c>
      <c r="C20" s="64">
        <f>+HLOOKUP('CALCULADORA TIV V-1'!$E$4,Tablas!$B$1:$B$181,Flujos!J20+1,FALSE)</f>
        <v>0.04640189</v>
      </c>
      <c r="D20" s="80">
        <f t="shared" si="0"/>
        <v>47.700183</v>
      </c>
      <c r="E20" s="65">
        <f t="shared" si="2"/>
        <v>4.640189</v>
      </c>
      <c r="F20" s="65">
        <f>ROUND(D19*ROUND(((1+'CALCULADORA TIV V-1'!$C$14)^(1/12)-1),6),6)</f>
        <v>0.328645</v>
      </c>
      <c r="G20" s="65">
        <f t="shared" si="3"/>
        <v>4.968834</v>
      </c>
      <c r="H20" s="66">
        <f>IF($B20=0,0,G20/POWER(1+'CALCULADORA TIV V-1'!$F$11,Flujos!$B20/365))</f>
        <v>0</v>
      </c>
      <c r="I20" s="67">
        <f t="shared" si="1"/>
        <v>44275</v>
      </c>
      <c r="J20" s="6">
        <v>18</v>
      </c>
      <c r="K20" s="68">
        <f t="shared" si="4"/>
        <v>546</v>
      </c>
      <c r="L20" s="72">
        <f t="shared" si="5"/>
        <v>38297415133.855034</v>
      </c>
      <c r="M20" s="69">
        <f t="shared" si="6"/>
        <v>3725504458.390607</v>
      </c>
      <c r="N20" s="69">
        <f t="shared" si="7"/>
        <v>263861912.1197104</v>
      </c>
      <c r="O20" s="70">
        <f t="shared" si="8"/>
        <v>3989366370.5103173</v>
      </c>
    </row>
    <row r="21" spans="1:15" ht="12.75">
      <c r="A21" s="159">
        <v>44306</v>
      </c>
      <c r="B21" s="35">
        <f>IF(DIAS365('CALCULADORA TIV V-1'!$E$6,A21)&lt;0,0,DIAS365('CALCULADORA TIV V-1'!$E$6,A21))</f>
        <v>0</v>
      </c>
      <c r="C21" s="36">
        <f>+HLOOKUP('CALCULADORA TIV V-1'!$E$4,Tablas!$B$1:$B$181,Flujos!J21+1,FALSE)</f>
        <v>0</v>
      </c>
      <c r="D21" s="76">
        <f t="shared" si="0"/>
        <v>47.700183</v>
      </c>
      <c r="E21" s="37">
        <f t="shared" si="2"/>
        <v>0</v>
      </c>
      <c r="F21" s="37">
        <f>ROUND(D20*ROUND(((1+'CALCULADORA TIV V-1'!$C$14)^(1/12)-1),6),6)</f>
        <v>0.299509</v>
      </c>
      <c r="G21" s="37">
        <f t="shared" si="3"/>
        <v>0.299509</v>
      </c>
      <c r="H21" s="38">
        <f>IF($B21=0,0,G21/POWER(1+'CALCULADORA TIV V-1'!$F$11,Flujos!$B21/365))</f>
        <v>0</v>
      </c>
      <c r="I21" s="39">
        <f t="shared" si="1"/>
        <v>44306</v>
      </c>
      <c r="J21" s="40">
        <v>19</v>
      </c>
      <c r="K21" s="41">
        <f t="shared" si="4"/>
        <v>577</v>
      </c>
      <c r="L21" s="42">
        <f t="shared" si="5"/>
        <v>38297415133.855034</v>
      </c>
      <c r="M21" s="43">
        <f t="shared" si="6"/>
        <v>0</v>
      </c>
      <c r="N21" s="43">
        <f t="shared" si="7"/>
        <v>240469469.62547576</v>
      </c>
      <c r="O21" s="44">
        <f t="shared" si="8"/>
        <v>240469469.62547576</v>
      </c>
    </row>
    <row r="22" spans="1:15" ht="12.75">
      <c r="A22" s="159">
        <v>44336</v>
      </c>
      <c r="B22" s="35">
        <f>IF(DIAS365('CALCULADORA TIV V-1'!$E$6,A22)&lt;0,0,DIAS365('CALCULADORA TIV V-1'!$E$6,A22))</f>
        <v>0</v>
      </c>
      <c r="C22" s="36">
        <f>+HLOOKUP('CALCULADORA TIV V-1'!$E$4,Tablas!$B$1:$B$181,Flujos!J22+1,FALSE)</f>
        <v>0</v>
      </c>
      <c r="D22" s="76">
        <f t="shared" si="0"/>
        <v>47.700183</v>
      </c>
      <c r="E22" s="37">
        <f t="shared" si="2"/>
        <v>0</v>
      </c>
      <c r="F22" s="37">
        <f>ROUND(D21*ROUND(((1+'CALCULADORA TIV V-1'!$C$14)^(1/12)-1),6),6)</f>
        <v>0.299509</v>
      </c>
      <c r="G22" s="37">
        <f t="shared" si="3"/>
        <v>0.299509</v>
      </c>
      <c r="H22" s="38">
        <f>IF($B22=0,0,G22/POWER(1+'CALCULADORA TIV V-1'!$F$11,Flujos!$B22/365))</f>
        <v>0</v>
      </c>
      <c r="I22" s="39">
        <f t="shared" si="1"/>
        <v>44336</v>
      </c>
      <c r="J22" s="40">
        <v>20</v>
      </c>
      <c r="K22" s="41">
        <f t="shared" si="4"/>
        <v>607</v>
      </c>
      <c r="L22" s="42">
        <f t="shared" si="5"/>
        <v>38297415133.855034</v>
      </c>
      <c r="M22" s="43">
        <f t="shared" si="6"/>
        <v>0</v>
      </c>
      <c r="N22" s="43">
        <f t="shared" si="7"/>
        <v>240469469.62547576</v>
      </c>
      <c r="O22" s="44">
        <f t="shared" si="8"/>
        <v>240469469.62547576</v>
      </c>
    </row>
    <row r="23" spans="1:15" ht="12.75">
      <c r="A23" s="159">
        <v>44367</v>
      </c>
      <c r="B23" s="35">
        <f>IF(DIAS365('CALCULADORA TIV V-1'!$E$6,A23)&lt;0,0,DIAS365('CALCULADORA TIV V-1'!$E$6,A23))</f>
        <v>0</v>
      </c>
      <c r="C23" s="36">
        <f>+HLOOKUP('CALCULADORA TIV V-1'!$E$4,Tablas!$B$1:$B$181,Flujos!J23+1,FALSE)</f>
        <v>0</v>
      </c>
      <c r="D23" s="76">
        <f t="shared" si="0"/>
        <v>47.700183</v>
      </c>
      <c r="E23" s="37">
        <f t="shared" si="2"/>
        <v>0</v>
      </c>
      <c r="F23" s="37">
        <f>ROUND(D22*ROUND(((1+'CALCULADORA TIV V-1'!$C$14)^(1/12)-1),6),6)</f>
        <v>0.299509</v>
      </c>
      <c r="G23" s="37">
        <f t="shared" si="3"/>
        <v>0.299509</v>
      </c>
      <c r="H23" s="38">
        <f>IF($B23=0,0,G23/POWER(1+'CALCULADORA TIV V-1'!$F$11,Flujos!$B23/365))</f>
        <v>0</v>
      </c>
      <c r="I23" s="39">
        <f t="shared" si="1"/>
        <v>44367</v>
      </c>
      <c r="J23" s="40">
        <v>21</v>
      </c>
      <c r="K23" s="41">
        <f t="shared" si="4"/>
        <v>638</v>
      </c>
      <c r="L23" s="42">
        <f t="shared" si="5"/>
        <v>38297415133.855034</v>
      </c>
      <c r="M23" s="43">
        <f t="shared" si="6"/>
        <v>0</v>
      </c>
      <c r="N23" s="43">
        <f t="shared" si="7"/>
        <v>240469469.62547576</v>
      </c>
      <c r="O23" s="44">
        <f t="shared" si="8"/>
        <v>240469469.62547576</v>
      </c>
    </row>
    <row r="24" spans="1:15" s="27" customFormat="1" ht="12.75">
      <c r="A24" s="159">
        <v>44397</v>
      </c>
      <c r="B24" s="63">
        <f>IF(DIAS365('CALCULADORA TIV V-1'!$E$6,A24)&lt;0,0,DIAS365('CALCULADORA TIV V-1'!$E$6,A24))</f>
        <v>0</v>
      </c>
      <c r="C24" s="64">
        <f>+HLOOKUP('CALCULADORA TIV V-1'!$E$4,Tablas!$B$1:$B$181,Flujos!J24+1,FALSE)</f>
        <v>0</v>
      </c>
      <c r="D24" s="80">
        <f t="shared" si="0"/>
        <v>47.700183</v>
      </c>
      <c r="E24" s="65">
        <f t="shared" si="2"/>
        <v>0</v>
      </c>
      <c r="F24" s="65">
        <f>ROUND(D23*ROUND(((1+'CALCULADORA TIV V-1'!$C$14)^(1/12)-1),6),6)</f>
        <v>0.299509</v>
      </c>
      <c r="G24" s="65">
        <f t="shared" si="3"/>
        <v>0.299509</v>
      </c>
      <c r="H24" s="66">
        <f>IF($B24=0,0,G24/POWER(1+'CALCULADORA TIV V-1'!$F$11,Flujos!$B24/365))</f>
        <v>0</v>
      </c>
      <c r="I24" s="67">
        <f t="shared" si="1"/>
        <v>44397</v>
      </c>
      <c r="J24" s="6">
        <v>22</v>
      </c>
      <c r="K24" s="68">
        <f t="shared" si="4"/>
        <v>668</v>
      </c>
      <c r="L24" s="72">
        <f t="shared" si="5"/>
        <v>38297415133.855034</v>
      </c>
      <c r="M24" s="69">
        <f t="shared" si="6"/>
        <v>0</v>
      </c>
      <c r="N24" s="69">
        <f t="shared" si="7"/>
        <v>240469469.62547576</v>
      </c>
      <c r="O24" s="70">
        <f t="shared" si="8"/>
        <v>240469469.62547576</v>
      </c>
    </row>
    <row r="25" spans="1:15" s="27" customFormat="1" ht="12.75">
      <c r="A25" s="159">
        <v>44428</v>
      </c>
      <c r="B25" s="63">
        <f>IF(DIAS365('CALCULADORA TIV V-1'!$E$6,A25)&lt;0,0,DIAS365('CALCULADORA TIV V-1'!$E$6,A25))</f>
        <v>0</v>
      </c>
      <c r="C25" s="64">
        <f>+HLOOKUP('CALCULADORA TIV V-1'!$E$4,Tablas!$B$1:$B$181,Flujos!J25+1,FALSE)</f>
        <v>0</v>
      </c>
      <c r="D25" s="80">
        <f t="shared" si="0"/>
        <v>47.700183</v>
      </c>
      <c r="E25" s="65">
        <f t="shared" si="2"/>
        <v>0</v>
      </c>
      <c r="F25" s="65">
        <f>ROUND(D24*ROUND(((1+'CALCULADORA TIV V-1'!$C$14)^(1/12)-1),6),6)</f>
        <v>0.299509</v>
      </c>
      <c r="G25" s="65">
        <f t="shared" si="3"/>
        <v>0.299509</v>
      </c>
      <c r="H25" s="66">
        <f>IF($B25=0,0,G25/POWER(1+'CALCULADORA TIV V-1'!$F$11,Flujos!$B25/365))</f>
        <v>0</v>
      </c>
      <c r="I25" s="67">
        <f t="shared" si="1"/>
        <v>44428</v>
      </c>
      <c r="J25" s="6">
        <v>23</v>
      </c>
      <c r="K25" s="68">
        <f t="shared" si="4"/>
        <v>699</v>
      </c>
      <c r="L25" s="72">
        <f t="shared" si="5"/>
        <v>38297415133.855034</v>
      </c>
      <c r="M25" s="69">
        <f t="shared" si="6"/>
        <v>0</v>
      </c>
      <c r="N25" s="69">
        <f t="shared" si="7"/>
        <v>240469469.62547576</v>
      </c>
      <c r="O25" s="70">
        <f t="shared" si="8"/>
        <v>240469469.62547576</v>
      </c>
    </row>
    <row r="26" spans="1:15" s="27" customFormat="1" ht="12.75">
      <c r="A26" s="159">
        <v>44459</v>
      </c>
      <c r="B26" s="63">
        <f>IF(DIAS365('CALCULADORA TIV V-1'!$E$6,A26)&lt;0,0,DIAS365('CALCULADORA TIV V-1'!$E$6,A26))</f>
        <v>0</v>
      </c>
      <c r="C26" s="64">
        <f>+HLOOKUP('CALCULADORA TIV V-1'!$E$4,Tablas!$B$1:$B$181,Flujos!J26+1,FALSE)</f>
        <v>0.01700183</v>
      </c>
      <c r="D26" s="80">
        <f t="shared" si="0"/>
        <v>46</v>
      </c>
      <c r="E26" s="65">
        <f t="shared" si="2"/>
        <v>1.700183</v>
      </c>
      <c r="F26" s="65">
        <f>ROUND(D25*ROUND(((1+'CALCULADORA TIV V-1'!$C$14)^(1/12)-1),6),6)</f>
        <v>0.299509</v>
      </c>
      <c r="G26" s="65">
        <f t="shared" si="3"/>
        <v>1.999692</v>
      </c>
      <c r="H26" s="66">
        <f>IF($B26=0,0,G26/POWER(1+'CALCULADORA TIV V-1'!$F$11,Flujos!$B26/365))</f>
        <v>0</v>
      </c>
      <c r="I26" s="67">
        <f t="shared" si="1"/>
        <v>44459</v>
      </c>
      <c r="J26" s="6">
        <v>24</v>
      </c>
      <c r="K26" s="68">
        <f t="shared" si="4"/>
        <v>730</v>
      </c>
      <c r="L26" s="72">
        <f t="shared" si="5"/>
        <v>36932376048.89967</v>
      </c>
      <c r="M26" s="69">
        <f t="shared" si="6"/>
        <v>1365039084.9553578</v>
      </c>
      <c r="N26" s="69">
        <f t="shared" si="7"/>
        <v>240469469.62547576</v>
      </c>
      <c r="O26" s="70">
        <f t="shared" si="8"/>
        <v>1605508554.5808334</v>
      </c>
    </row>
    <row r="27" spans="1:15" s="27" customFormat="1" ht="12.75">
      <c r="A27" s="159">
        <v>44489</v>
      </c>
      <c r="B27" s="63">
        <f>IF(DIAS365('CALCULADORA TIV V-1'!$E$6,A27)&lt;0,0,DIAS365('CALCULADORA TIV V-1'!$E$6,A27))</f>
        <v>0</v>
      </c>
      <c r="C27" s="64">
        <f>+HLOOKUP('CALCULADORA TIV V-1'!$E$4,Tablas!$B$1:$B$181,Flujos!J27+1,FALSE)</f>
        <v>0.0225</v>
      </c>
      <c r="D27" s="80">
        <f t="shared" si="0"/>
        <v>43.75</v>
      </c>
      <c r="E27" s="65">
        <f t="shared" si="2"/>
        <v>2.25</v>
      </c>
      <c r="F27" s="65">
        <f>ROUND(D26*ROUND(((1+'CALCULADORA TIV V-1'!$C$14)^(1/12)-1),6),6)</f>
        <v>0.288834</v>
      </c>
      <c r="G27" s="65">
        <f t="shared" si="3"/>
        <v>2.538834</v>
      </c>
      <c r="H27" s="66">
        <f>IF($B27=0,0,G27/POWER(1+'CALCULADORA TIV V-1'!$F$11,Flujos!$B27/365))</f>
        <v>0</v>
      </c>
      <c r="I27" s="67">
        <f t="shared" si="1"/>
        <v>44489</v>
      </c>
      <c r="J27" s="6">
        <v>25</v>
      </c>
      <c r="K27" s="68">
        <f t="shared" si="4"/>
        <v>760</v>
      </c>
      <c r="L27" s="72">
        <f t="shared" si="5"/>
        <v>35125901133.46436</v>
      </c>
      <c r="M27" s="69">
        <f t="shared" si="6"/>
        <v>1806474915.4353118</v>
      </c>
      <c r="N27" s="69">
        <f t="shared" si="7"/>
        <v>231898389.21104103</v>
      </c>
      <c r="O27" s="70">
        <f t="shared" si="8"/>
        <v>2038373304.6463528</v>
      </c>
    </row>
    <row r="28" spans="1:15" s="27" customFormat="1" ht="12.75">
      <c r="A28" s="159">
        <v>44520</v>
      </c>
      <c r="B28" s="63">
        <f>IF(DIAS365('CALCULADORA TIV V-1'!$E$6,A28)&lt;0,0,DIAS365('CALCULADORA TIV V-1'!$E$6,A28))</f>
        <v>0</v>
      </c>
      <c r="C28" s="64">
        <f>+HLOOKUP('CALCULADORA TIV V-1'!$E$4,Tablas!$B$1:$B$181,Flujos!J28+1,FALSE)</f>
        <v>0.0225</v>
      </c>
      <c r="D28" s="80">
        <f t="shared" si="0"/>
        <v>41.5</v>
      </c>
      <c r="E28" s="65">
        <f t="shared" si="2"/>
        <v>2.25</v>
      </c>
      <c r="F28" s="65">
        <f>ROUND(D27*ROUND(((1+'CALCULADORA TIV V-1'!$C$14)^(1/12)-1),6),6)</f>
        <v>0.274706</v>
      </c>
      <c r="G28" s="65">
        <f t="shared" si="3"/>
        <v>2.524706</v>
      </c>
      <c r="H28" s="66">
        <f>IF($B28=0,0,G28/POWER(1+'CALCULADORA TIV V-1'!$F$11,Flujos!$B28/365))</f>
        <v>0</v>
      </c>
      <c r="I28" s="67">
        <f t="shared" si="1"/>
        <v>44520</v>
      </c>
      <c r="J28" s="6">
        <v>26</v>
      </c>
      <c r="K28" s="68">
        <f t="shared" si="4"/>
        <v>791</v>
      </c>
      <c r="L28" s="72">
        <f t="shared" si="5"/>
        <v>33319426218.029053</v>
      </c>
      <c r="M28" s="69">
        <f t="shared" si="6"/>
        <v>1806474915.4353118</v>
      </c>
      <c r="N28" s="69">
        <f t="shared" si="7"/>
        <v>220555533.21702272</v>
      </c>
      <c r="O28" s="70">
        <f t="shared" si="8"/>
        <v>2027030448.6523345</v>
      </c>
    </row>
    <row r="29" spans="1:15" s="157" customFormat="1" ht="12.75">
      <c r="A29" s="159">
        <v>44550</v>
      </c>
      <c r="B29" s="63">
        <f>IF(DIAS365('CALCULADORA TIV V-1'!$E$6,A29)&lt;0,0,DIAS365('CALCULADORA TIV V-1'!$E$6,A29))</f>
        <v>0</v>
      </c>
      <c r="C29" s="64">
        <f>+HLOOKUP('CALCULADORA TIV V-1'!$E$4,Tablas!$B$1:$B$181,Flujos!J29+1,FALSE)</f>
        <v>0.0225</v>
      </c>
      <c r="D29" s="80">
        <f t="shared" si="0"/>
        <v>39.25</v>
      </c>
      <c r="E29" s="65">
        <f t="shared" si="2"/>
        <v>2.25</v>
      </c>
      <c r="F29" s="65">
        <f>ROUND(D28*ROUND(((1+'CALCULADORA TIV V-1'!$C$14)^(1/12)-1),6),6)</f>
        <v>0.260579</v>
      </c>
      <c r="G29" s="65">
        <f t="shared" si="3"/>
        <v>2.510579</v>
      </c>
      <c r="H29" s="66">
        <f>IF($B29=0,0,G29/POWER(1+'CALCULADORA TIV V-1'!$F$11,Flujos!$B29/365))</f>
        <v>0</v>
      </c>
      <c r="I29" s="67">
        <f t="shared" si="1"/>
        <v>44550</v>
      </c>
      <c r="J29" s="6">
        <v>27</v>
      </c>
      <c r="K29" s="68">
        <f t="shared" si="4"/>
        <v>821</v>
      </c>
      <c r="L29" s="72">
        <f t="shared" si="5"/>
        <v>31512951302.593742</v>
      </c>
      <c r="M29" s="69">
        <f t="shared" si="6"/>
        <v>1806474915.4353118</v>
      </c>
      <c r="N29" s="69">
        <f t="shared" si="7"/>
        <v>209212677.22300443</v>
      </c>
      <c r="O29" s="70">
        <f t="shared" si="8"/>
        <v>2015687592.6583161</v>
      </c>
    </row>
    <row r="30" spans="1:15" s="27" customFormat="1" ht="12.75">
      <c r="A30" s="159">
        <v>44581</v>
      </c>
      <c r="B30" s="63">
        <f>IF(DIAS365('CALCULADORA TIV V-1'!$E$6,A30)&lt;0,0,DIAS365('CALCULADORA TIV V-1'!$E$6,A30))</f>
        <v>0</v>
      </c>
      <c r="C30" s="64">
        <f>+HLOOKUP('CALCULADORA TIV V-1'!$E$4,Tablas!$B$1:$B$181,Flujos!J30+1,FALSE)</f>
        <v>0.0225</v>
      </c>
      <c r="D30" s="80">
        <f t="shared" si="0"/>
        <v>37</v>
      </c>
      <c r="E30" s="65">
        <f t="shared" si="2"/>
        <v>2.25</v>
      </c>
      <c r="F30" s="65">
        <f>ROUND(D29*ROUND(((1+'CALCULADORA TIV V-1'!$C$14)^(1/12)-1),6),6)</f>
        <v>0.246451</v>
      </c>
      <c r="G30" s="65">
        <f t="shared" si="3"/>
        <v>2.496451</v>
      </c>
      <c r="H30" s="66">
        <f>IF($B30=0,0,G30/POWER(1+'CALCULADORA TIV V-1'!$F$11,Flujos!$B30/365))</f>
        <v>0</v>
      </c>
      <c r="I30" s="67">
        <f t="shared" si="1"/>
        <v>44581</v>
      </c>
      <c r="J30" s="6">
        <v>28</v>
      </c>
      <c r="K30" s="68">
        <f t="shared" si="4"/>
        <v>852</v>
      </c>
      <c r="L30" s="72">
        <f t="shared" si="5"/>
        <v>29706476387.158432</v>
      </c>
      <c r="M30" s="69">
        <f t="shared" si="6"/>
        <v>1806474915.4353118</v>
      </c>
      <c r="N30" s="69">
        <f t="shared" si="7"/>
        <v>197869821.2289861</v>
      </c>
      <c r="O30" s="70">
        <f t="shared" si="8"/>
        <v>2004344736.6642978</v>
      </c>
    </row>
    <row r="31" spans="1:15" s="27" customFormat="1" ht="12.75">
      <c r="A31" s="159">
        <v>44612</v>
      </c>
      <c r="B31" s="63">
        <f>IF(DIAS365('CALCULADORA TIV V-1'!$E$6,A31)&lt;0,0,DIAS365('CALCULADORA TIV V-1'!$E$6,A31))</f>
        <v>0</v>
      </c>
      <c r="C31" s="64">
        <f>+HLOOKUP('CALCULADORA TIV V-1'!$E$4,Tablas!$B$1:$B$181,Flujos!J31+1,FALSE)</f>
        <v>0.0225</v>
      </c>
      <c r="D31" s="80">
        <f t="shared" si="0"/>
        <v>34.75</v>
      </c>
      <c r="E31" s="65">
        <f t="shared" si="2"/>
        <v>2.25</v>
      </c>
      <c r="F31" s="65">
        <f>ROUND(D30*ROUND(((1+'CALCULADORA TIV V-1'!$C$14)^(1/12)-1),6),6)</f>
        <v>0.232323</v>
      </c>
      <c r="G31" s="65">
        <f t="shared" si="3"/>
        <v>2.482323</v>
      </c>
      <c r="H31" s="66">
        <f>IF($B31=0,0,G31/POWER(1+'CALCULADORA TIV V-1'!$F$11,Flujos!$B31/365))</f>
        <v>0</v>
      </c>
      <c r="I31" s="67">
        <f t="shared" si="1"/>
        <v>44612</v>
      </c>
      <c r="J31" s="6">
        <v>29</v>
      </c>
      <c r="K31" s="68">
        <f t="shared" si="4"/>
        <v>883</v>
      </c>
      <c r="L31" s="72">
        <f t="shared" si="5"/>
        <v>27900001471.72312</v>
      </c>
      <c r="M31" s="69">
        <f t="shared" si="6"/>
        <v>1806474915.4353118</v>
      </c>
      <c r="N31" s="69">
        <f t="shared" si="7"/>
        <v>186526965.2349678</v>
      </c>
      <c r="O31" s="70">
        <f t="shared" si="8"/>
        <v>1993001880.6702795</v>
      </c>
    </row>
    <row r="32" spans="1:15" s="27" customFormat="1" ht="12.75">
      <c r="A32" s="159">
        <v>44640</v>
      </c>
      <c r="B32" s="63">
        <f>IF(DIAS365('CALCULADORA TIV V-1'!$E$6,A32)&lt;0,0,DIAS365('CALCULADORA TIV V-1'!$E$6,A32))</f>
        <v>0</v>
      </c>
      <c r="C32" s="64">
        <f>+HLOOKUP('CALCULADORA TIV V-1'!$E$4,Tablas!$B$1:$B$181,Flujos!J32+1,FALSE)</f>
        <v>0.0225</v>
      </c>
      <c r="D32" s="80">
        <f t="shared" si="0"/>
        <v>32.5</v>
      </c>
      <c r="E32" s="65">
        <f t="shared" si="2"/>
        <v>2.25</v>
      </c>
      <c r="F32" s="65">
        <f>ROUND(D31*ROUND(((1+'CALCULADORA TIV V-1'!$C$14)^(1/12)-1),6),6)</f>
        <v>0.218195</v>
      </c>
      <c r="G32" s="65">
        <f t="shared" si="3"/>
        <v>2.468195</v>
      </c>
      <c r="H32" s="66">
        <f>IF($B32=0,0,G32/POWER(1+'CALCULADORA TIV V-1'!$F$11,Flujos!$B32/365))</f>
        <v>0</v>
      </c>
      <c r="I32" s="67">
        <f t="shared" si="1"/>
        <v>44640</v>
      </c>
      <c r="J32" s="6">
        <v>30</v>
      </c>
      <c r="K32" s="68">
        <f t="shared" si="4"/>
        <v>911</v>
      </c>
      <c r="L32" s="72">
        <f t="shared" si="5"/>
        <v>26093526556.28781</v>
      </c>
      <c r="M32" s="69">
        <f t="shared" si="6"/>
        <v>1806474915.4353118</v>
      </c>
      <c r="N32" s="69">
        <f t="shared" si="7"/>
        <v>175184109.24094948</v>
      </c>
      <c r="O32" s="70">
        <f t="shared" si="8"/>
        <v>1981659024.6762612</v>
      </c>
    </row>
    <row r="33" spans="1:15" s="27" customFormat="1" ht="12.75">
      <c r="A33" s="159">
        <v>44671</v>
      </c>
      <c r="B33" s="63">
        <f>IF(DIAS365('CALCULADORA TIV V-1'!$E$6,A33)&lt;0,0,DIAS365('CALCULADORA TIV V-1'!$E$6,A33))</f>
        <v>0</v>
      </c>
      <c r="C33" s="64">
        <f>+HLOOKUP('CALCULADORA TIV V-1'!$E$4,Tablas!$B$1:$B$181,Flujos!J33+1,FALSE)</f>
        <v>0.0225</v>
      </c>
      <c r="D33" s="80">
        <f t="shared" si="0"/>
        <v>30.25</v>
      </c>
      <c r="E33" s="65">
        <f t="shared" si="2"/>
        <v>2.25</v>
      </c>
      <c r="F33" s="65">
        <f>ROUND(D32*ROUND(((1+'CALCULADORA TIV V-1'!$C$14)^(1/12)-1),6),6)</f>
        <v>0.204068</v>
      </c>
      <c r="G33" s="65">
        <f t="shared" si="3"/>
        <v>2.454068</v>
      </c>
      <c r="H33" s="66">
        <f>IF($B33=0,0,G33/POWER(1+'CALCULADORA TIV V-1'!$F$11,Flujos!$B33/365))</f>
        <v>0</v>
      </c>
      <c r="I33" s="67">
        <f t="shared" si="1"/>
        <v>44671</v>
      </c>
      <c r="J33" s="6">
        <v>31</v>
      </c>
      <c r="K33" s="68">
        <f t="shared" si="4"/>
        <v>942</v>
      </c>
      <c r="L33" s="72">
        <f t="shared" si="5"/>
        <v>24287051640.8525</v>
      </c>
      <c r="M33" s="69">
        <f t="shared" si="6"/>
        <v>1806474915.4353118</v>
      </c>
      <c r="N33" s="69">
        <f t="shared" si="7"/>
        <v>163841253.24693117</v>
      </c>
      <c r="O33" s="70">
        <f t="shared" si="8"/>
        <v>1970316168.6822429</v>
      </c>
    </row>
    <row r="34" spans="1:15" s="27" customFormat="1" ht="12.75">
      <c r="A34" s="159">
        <v>44701</v>
      </c>
      <c r="B34" s="63">
        <f>IF(DIAS365('CALCULADORA TIV V-1'!$E$6,A34)&lt;0,0,DIAS365('CALCULADORA TIV V-1'!$E$6,A34))</f>
        <v>0</v>
      </c>
      <c r="C34" s="64">
        <f>+HLOOKUP('CALCULADORA TIV V-1'!$E$4,Tablas!$B$1:$B$181,Flujos!J34+1,FALSE)</f>
        <v>0.0225</v>
      </c>
      <c r="D34" s="80">
        <f t="shared" si="0"/>
        <v>28</v>
      </c>
      <c r="E34" s="65">
        <f t="shared" si="2"/>
        <v>2.25</v>
      </c>
      <c r="F34" s="65">
        <f>ROUND(D33*ROUND(((1+'CALCULADORA TIV V-1'!$C$14)^(1/12)-1),6),6)</f>
        <v>0.18994</v>
      </c>
      <c r="G34" s="65">
        <f t="shared" si="3"/>
        <v>2.43994</v>
      </c>
      <c r="H34" s="66">
        <f>IF($B34=0,0,G34/POWER(1+'CALCULADORA TIV V-1'!$F$11,Flujos!$B34/365))</f>
        <v>0</v>
      </c>
      <c r="I34" s="67">
        <f t="shared" si="1"/>
        <v>44701</v>
      </c>
      <c r="J34" s="6">
        <v>32</v>
      </c>
      <c r="K34" s="68">
        <f t="shared" si="4"/>
        <v>972</v>
      </c>
      <c r="L34" s="72">
        <f t="shared" si="5"/>
        <v>22480576725.41719</v>
      </c>
      <c r="M34" s="69">
        <f t="shared" si="6"/>
        <v>1806474915.4353118</v>
      </c>
      <c r="N34" s="69">
        <f t="shared" si="7"/>
        <v>152498397.25291285</v>
      </c>
      <c r="O34" s="70">
        <f t="shared" si="8"/>
        <v>1958973312.6882246</v>
      </c>
    </row>
    <row r="35" spans="1:15" s="27" customFormat="1" ht="12.75">
      <c r="A35" s="159">
        <v>44732</v>
      </c>
      <c r="B35" s="63">
        <f>IF(DIAS365('CALCULADORA TIV V-1'!$E$6,A35)&lt;0,0,DIAS365('CALCULADORA TIV V-1'!$E$6,A35))</f>
        <v>0</v>
      </c>
      <c r="C35" s="64">
        <f>+HLOOKUP('CALCULADORA TIV V-1'!$E$4,Tablas!$B$1:$B$181,Flujos!J35+1,FALSE)</f>
        <v>0.0225</v>
      </c>
      <c r="D35" s="80">
        <f t="shared" si="0"/>
        <v>25.75</v>
      </c>
      <c r="E35" s="65">
        <f t="shared" si="2"/>
        <v>2.25</v>
      </c>
      <c r="F35" s="65">
        <f>ROUND(D34*ROUND(((1+'CALCULADORA TIV V-1'!$C$14)^(1/12)-1),6),6)</f>
        <v>0.175812</v>
      </c>
      <c r="G35" s="65">
        <f t="shared" si="3"/>
        <v>2.425812</v>
      </c>
      <c r="H35" s="66">
        <f>IF($B35=0,0,G35/POWER(1+'CALCULADORA TIV V-1'!$F$11,Flujos!$B35/365))</f>
        <v>0</v>
      </c>
      <c r="I35" s="67">
        <f t="shared" si="1"/>
        <v>44732</v>
      </c>
      <c r="J35" s="6">
        <v>33</v>
      </c>
      <c r="K35" s="68">
        <f t="shared" si="4"/>
        <v>1003</v>
      </c>
      <c r="L35" s="72">
        <f t="shared" si="5"/>
        <v>20674101809.98188</v>
      </c>
      <c r="M35" s="69">
        <f t="shared" si="6"/>
        <v>1806474915.4353118</v>
      </c>
      <c r="N35" s="69">
        <f t="shared" si="7"/>
        <v>141155541.25889453</v>
      </c>
      <c r="O35" s="70">
        <f t="shared" si="8"/>
        <v>1947630456.6942062</v>
      </c>
    </row>
    <row r="36" spans="1:15" s="27" customFormat="1" ht="12.75">
      <c r="A36" s="159">
        <v>44762</v>
      </c>
      <c r="B36" s="63">
        <f>IF(DIAS365('CALCULADORA TIV V-1'!$E$6,A36)&lt;0,0,DIAS365('CALCULADORA TIV V-1'!$E$6,A36))</f>
        <v>0</v>
      </c>
      <c r="C36" s="64">
        <f>+HLOOKUP('CALCULADORA TIV V-1'!$E$4,Tablas!$B$1:$B$181,Flujos!J36+1,FALSE)</f>
        <v>0.0225</v>
      </c>
      <c r="D36" s="80">
        <f t="shared" si="0"/>
        <v>23.5</v>
      </c>
      <c r="E36" s="65">
        <f t="shared" si="2"/>
        <v>2.25</v>
      </c>
      <c r="F36" s="65">
        <f>ROUND(D35*ROUND(((1+'CALCULADORA TIV V-1'!$C$14)^(1/12)-1),6),6)</f>
        <v>0.161684</v>
      </c>
      <c r="G36" s="65">
        <f t="shared" si="3"/>
        <v>2.411684</v>
      </c>
      <c r="H36" s="66">
        <f>IF($B36=0,0,G36/POWER(1+'CALCULADORA TIV V-1'!$F$11,Flujos!$B36/365))</f>
        <v>0</v>
      </c>
      <c r="I36" s="67">
        <f t="shared" si="1"/>
        <v>44762</v>
      </c>
      <c r="J36" s="6">
        <v>34</v>
      </c>
      <c r="K36" s="68">
        <f t="shared" si="4"/>
        <v>1033</v>
      </c>
      <c r="L36" s="72">
        <f t="shared" si="5"/>
        <v>18867626894.54657</v>
      </c>
      <c r="M36" s="69">
        <f t="shared" si="6"/>
        <v>1806474915.4353118</v>
      </c>
      <c r="N36" s="69">
        <f t="shared" si="7"/>
        <v>129812685.26487622</v>
      </c>
      <c r="O36" s="70">
        <f t="shared" si="8"/>
        <v>1936287600.700188</v>
      </c>
    </row>
    <row r="37" spans="1:15" s="27" customFormat="1" ht="12.75">
      <c r="A37" s="159">
        <v>44793</v>
      </c>
      <c r="B37" s="63">
        <f>IF(DIAS365('CALCULADORA TIV V-1'!$E$6,A37)&lt;0,0,DIAS365('CALCULADORA TIV V-1'!$E$6,A37))</f>
        <v>0</v>
      </c>
      <c r="C37" s="64">
        <f>+HLOOKUP('CALCULADORA TIV V-1'!$E$4,Tablas!$B$1:$B$181,Flujos!J37+1,FALSE)</f>
        <v>0.0225</v>
      </c>
      <c r="D37" s="80">
        <f t="shared" si="0"/>
        <v>21.25</v>
      </c>
      <c r="E37" s="65">
        <f t="shared" si="2"/>
        <v>2.25</v>
      </c>
      <c r="F37" s="65">
        <f>ROUND(D36*ROUND(((1+'CALCULADORA TIV V-1'!$C$14)^(1/12)-1),6),6)</f>
        <v>0.147557</v>
      </c>
      <c r="G37" s="65">
        <f t="shared" si="3"/>
        <v>2.397557</v>
      </c>
      <c r="H37" s="66">
        <f>IF($B37=0,0,G37/POWER(1+'CALCULADORA TIV V-1'!$F$11,Flujos!$B37/365))</f>
        <v>0</v>
      </c>
      <c r="I37" s="67">
        <f t="shared" si="1"/>
        <v>44793</v>
      </c>
      <c r="J37" s="6">
        <v>35</v>
      </c>
      <c r="K37" s="68">
        <f t="shared" si="4"/>
        <v>1064</v>
      </c>
      <c r="L37" s="72">
        <f t="shared" si="5"/>
        <v>17061151979.111258</v>
      </c>
      <c r="M37" s="69">
        <f t="shared" si="6"/>
        <v>1806474915.4353118</v>
      </c>
      <c r="N37" s="69">
        <f t="shared" si="7"/>
        <v>118469829.27085792</v>
      </c>
      <c r="O37" s="70">
        <f t="shared" si="8"/>
        <v>1924944744.7061696</v>
      </c>
    </row>
    <row r="38" spans="1:15" s="27" customFormat="1" ht="12.75">
      <c r="A38" s="159">
        <v>44824</v>
      </c>
      <c r="B38" s="63">
        <f>IF(DIAS365('CALCULADORA TIV V-1'!$E$6,A38)&lt;0,0,DIAS365('CALCULADORA TIV V-1'!$E$6,A38))</f>
        <v>0</v>
      </c>
      <c r="C38" s="64">
        <f>+HLOOKUP('CALCULADORA TIV V-1'!$E$4,Tablas!$B$1:$B$181,Flujos!J38+1,FALSE)</f>
        <v>0.0225</v>
      </c>
      <c r="D38" s="80">
        <f t="shared" si="0"/>
        <v>19</v>
      </c>
      <c r="E38" s="65">
        <f t="shared" si="2"/>
        <v>2.25</v>
      </c>
      <c r="F38" s="65">
        <f>ROUND(D37*ROUND(((1+'CALCULADORA TIV V-1'!$C$14)^(1/12)-1),6),6)</f>
        <v>0.133429</v>
      </c>
      <c r="G38" s="65">
        <f t="shared" si="3"/>
        <v>2.383429</v>
      </c>
      <c r="H38" s="66">
        <f>IF($B38=0,0,G38/POWER(1+'CALCULADORA TIV V-1'!$F$11,Flujos!$B38/365))</f>
        <v>0</v>
      </c>
      <c r="I38" s="67">
        <f t="shared" si="1"/>
        <v>44824</v>
      </c>
      <c r="J38" s="6">
        <v>36</v>
      </c>
      <c r="K38" s="68">
        <f t="shared" si="4"/>
        <v>1095</v>
      </c>
      <c r="L38" s="72">
        <f t="shared" si="5"/>
        <v>15254677063.675945</v>
      </c>
      <c r="M38" s="69">
        <f t="shared" si="6"/>
        <v>1806474915.4353118</v>
      </c>
      <c r="N38" s="69">
        <f t="shared" si="7"/>
        <v>107126973.27683958</v>
      </c>
      <c r="O38" s="70">
        <f t="shared" si="8"/>
        <v>1913601888.7121513</v>
      </c>
    </row>
    <row r="39" spans="1:15" s="27" customFormat="1" ht="12.75">
      <c r="A39" s="159">
        <v>44854</v>
      </c>
      <c r="B39" s="63">
        <f>IF(DIAS365('CALCULADORA TIV V-1'!$E$6,A39)&lt;0,0,DIAS365('CALCULADORA TIV V-1'!$E$6,A39))</f>
        <v>0</v>
      </c>
      <c r="C39" s="64">
        <f>+HLOOKUP('CALCULADORA TIV V-1'!$E$4,Tablas!$B$1:$B$181,Flujos!J39+1,FALSE)</f>
        <v>0.04688946</v>
      </c>
      <c r="D39" s="80">
        <f t="shared" si="0"/>
        <v>14.311054</v>
      </c>
      <c r="E39" s="65">
        <f t="shared" si="2"/>
        <v>4.688946</v>
      </c>
      <c r="F39" s="65">
        <f>ROUND(D38*ROUND(((1+'CALCULADORA TIV V-1'!$C$14)^(1/12)-1),6),6)</f>
        <v>0.119301</v>
      </c>
      <c r="G39" s="65">
        <f t="shared" si="3"/>
        <v>4.808247</v>
      </c>
      <c r="H39" s="66">
        <f>IF($B39=0,0,G39/POWER(1+'CALCULADORA TIV V-1'!$F$11,Flujos!$B39/365))</f>
        <v>0</v>
      </c>
      <c r="I39" s="67">
        <f t="shared" si="1"/>
        <v>44854</v>
      </c>
      <c r="J39" s="6">
        <v>37</v>
      </c>
      <c r="K39" s="68">
        <f t="shared" si="4"/>
        <v>1125</v>
      </c>
      <c r="L39" s="72">
        <f t="shared" si="5"/>
        <v>11490026695.306725</v>
      </c>
      <c r="M39" s="69">
        <f t="shared" si="6"/>
        <v>3764650368.36922</v>
      </c>
      <c r="N39" s="69">
        <f t="shared" si="7"/>
        <v>95784117.28282125</v>
      </c>
      <c r="O39" s="70">
        <f t="shared" si="8"/>
        <v>3860434485.652041</v>
      </c>
    </row>
    <row r="40" spans="1:15" s="27" customFormat="1" ht="12.75">
      <c r="A40" s="159">
        <v>44885</v>
      </c>
      <c r="B40" s="63">
        <f>IF(DIAS365('CALCULADORA TIV V-1'!$E$6,A40)&lt;0,0,DIAS365('CALCULADORA TIV V-1'!$E$6,A40))</f>
        <v>0</v>
      </c>
      <c r="C40" s="64">
        <f>+HLOOKUP('CALCULADORA TIV V-1'!$E$4,Tablas!$B$1:$B$181,Flujos!J40+1,FALSE)</f>
        <v>0.03935402</v>
      </c>
      <c r="D40" s="80">
        <f t="shared" si="0"/>
        <v>10.375652</v>
      </c>
      <c r="E40" s="65">
        <f t="shared" si="2"/>
        <v>3.935402</v>
      </c>
      <c r="F40" s="65">
        <f>ROUND(D39*ROUND(((1+'CALCULADORA TIV V-1'!$C$14)^(1/12)-1),6),6)</f>
        <v>0.089859</v>
      </c>
      <c r="G40" s="65">
        <f t="shared" si="3"/>
        <v>4.0252609999999995</v>
      </c>
      <c r="H40" s="66">
        <f>IF($B40=0,0,G40/POWER(1+'CALCULADORA TIV V-1'!$F$11,Flujos!$B40/365))</f>
        <v>0</v>
      </c>
      <c r="I40" s="67">
        <f t="shared" si="1"/>
        <v>44885</v>
      </c>
      <c r="J40" s="6">
        <v>38</v>
      </c>
      <c r="K40" s="68">
        <f t="shared" si="4"/>
        <v>1156</v>
      </c>
      <c r="L40" s="72">
        <f t="shared" si="5"/>
        <v>8330380030.793854</v>
      </c>
      <c r="M40" s="69">
        <f t="shared" si="6"/>
        <v>3159646664.5128703</v>
      </c>
      <c r="N40" s="69">
        <f t="shared" si="7"/>
        <v>72145877.61983092</v>
      </c>
      <c r="O40" s="70">
        <f t="shared" si="8"/>
        <v>3231792542.1327014</v>
      </c>
    </row>
    <row r="41" spans="1:15" s="27" customFormat="1" ht="12.75">
      <c r="A41" s="159">
        <v>44915</v>
      </c>
      <c r="B41" s="63">
        <f>IF(DIAS365('CALCULADORA TIV V-1'!$E$6,A41)&lt;0,0,DIAS365('CALCULADORA TIV V-1'!$E$6,A41))</f>
        <v>0</v>
      </c>
      <c r="C41" s="64">
        <f>+HLOOKUP('CALCULADORA TIV V-1'!$E$4,Tablas!$B$1:$B$181,Flujos!J41+1,FALSE)</f>
        <v>0.03779468</v>
      </c>
      <c r="D41" s="80">
        <f t="shared" si="0"/>
        <v>6.596184</v>
      </c>
      <c r="E41" s="65">
        <f t="shared" si="2"/>
        <v>3.779468</v>
      </c>
      <c r="F41" s="65">
        <f>ROUND(D40*ROUND(((1+'CALCULADORA TIV V-1'!$C$14)^(1/12)-1),6),6)</f>
        <v>0.065149</v>
      </c>
      <c r="G41" s="65">
        <f t="shared" si="3"/>
        <v>3.844617</v>
      </c>
      <c r="H41" s="66">
        <f>IF($B41=0,0,G41/POWER(1+'CALCULADORA TIV V-1'!$F$11,Flujos!$B41/365))</f>
        <v>0</v>
      </c>
      <c r="I41" s="67">
        <f t="shared" si="1"/>
        <v>44915</v>
      </c>
      <c r="J41" s="6">
        <v>39</v>
      </c>
      <c r="K41" s="68">
        <f t="shared" si="4"/>
        <v>1186</v>
      </c>
      <c r="L41" s="72">
        <f t="shared" si="5"/>
        <v>5295929303.8203125</v>
      </c>
      <c r="M41" s="69">
        <f t="shared" si="6"/>
        <v>3034450726.973541</v>
      </c>
      <c r="N41" s="69">
        <f t="shared" si="7"/>
        <v>52306456.21335461</v>
      </c>
      <c r="O41" s="70">
        <f t="shared" si="8"/>
        <v>3086757183.1868954</v>
      </c>
    </row>
    <row r="42" spans="1:15" s="157" customFormat="1" ht="12.75">
      <c r="A42" s="178">
        <v>44946</v>
      </c>
      <c r="B42" s="179">
        <f>IF(DIAS365('CALCULADORA TIV V-1'!$E$6,A42)&lt;0,0,DIAS365('CALCULADORA TIV V-1'!$E$6,A42))</f>
        <v>0</v>
      </c>
      <c r="C42" s="180">
        <f>+HLOOKUP('CALCULADORA TIV V-1'!$E$4,Tablas!$B$1:$B$181,Flujos!J42+1,FALSE)</f>
        <v>0.03645539</v>
      </c>
      <c r="D42" s="181">
        <f t="shared" si="0"/>
        <v>2.950645</v>
      </c>
      <c r="E42" s="182">
        <f t="shared" si="2"/>
        <v>3.645539</v>
      </c>
      <c r="F42" s="182">
        <f>ROUND(D41*ROUND(((1+'CALCULADORA TIV V-1'!$C$14)^(1/12)-1),6),6)</f>
        <v>0.041417</v>
      </c>
      <c r="G42" s="182">
        <f t="shared" si="3"/>
        <v>3.686956</v>
      </c>
      <c r="H42" s="183">
        <f>IF($B42=0,0,G42/POWER(1+'CALCULADORA TIV V-1'!$F$11,Flujos!$B42/365))</f>
        <v>0</v>
      </c>
      <c r="I42" s="184">
        <f t="shared" si="1"/>
        <v>44946</v>
      </c>
      <c r="J42" s="185">
        <v>40</v>
      </c>
      <c r="K42" s="186">
        <f t="shared" si="4"/>
        <v>1217</v>
      </c>
      <c r="L42" s="187">
        <f t="shared" si="5"/>
        <v>2369007189.713143</v>
      </c>
      <c r="M42" s="188">
        <f t="shared" si="6"/>
        <v>2926922114.1071696</v>
      </c>
      <c r="N42" s="188">
        <f t="shared" si="7"/>
        <v>33253140.098687742</v>
      </c>
      <c r="O42" s="189">
        <f t="shared" si="8"/>
        <v>2960175254.2058573</v>
      </c>
    </row>
    <row r="43" spans="1:15" ht="12.75">
      <c r="A43" s="159">
        <v>44977</v>
      </c>
      <c r="B43" s="35">
        <f>IF(DIAS365('CALCULADORA TIV V-1'!$E$6,A43)&lt;0,0,DIAS365('CALCULADORA TIV V-1'!$E$6,A43))</f>
        <v>31</v>
      </c>
      <c r="C43" s="36">
        <f>+HLOOKUP('CALCULADORA TIV V-1'!$E$4,Tablas!$B$1:$B$181,Flujos!J43+1,FALSE)</f>
        <v>0.02950645</v>
      </c>
      <c r="D43" s="76">
        <f t="shared" si="0"/>
        <v>0</v>
      </c>
      <c r="E43" s="37">
        <f t="shared" si="2"/>
        <v>2.950645</v>
      </c>
      <c r="F43" s="37">
        <f>ROUND(D42*ROUND(((1+'CALCULADORA TIV V-1'!$C$14)^(1/12)-1),6),6)</f>
        <v>0.018527</v>
      </c>
      <c r="G43" s="37">
        <f t="shared" si="3"/>
        <v>2.9691720000000004</v>
      </c>
      <c r="H43" s="38">
        <f>IF($B43=0,0,G43/POWER(1+'CALCULADORA TIV V-1'!$F$11,Flujos!$B43/365))</f>
        <v>2.950291960906362</v>
      </c>
      <c r="I43" s="39">
        <f t="shared" si="1"/>
        <v>44977</v>
      </c>
      <c r="J43" s="40">
        <v>41</v>
      </c>
      <c r="K43" s="41">
        <f t="shared" si="4"/>
        <v>1248</v>
      </c>
      <c r="L43" s="42">
        <f t="shared" si="5"/>
        <v>0</v>
      </c>
      <c r="M43" s="43">
        <f t="shared" si="6"/>
        <v>2369007189.713167</v>
      </c>
      <c r="N43" s="43">
        <f t="shared" si="7"/>
        <v>14874996.144208824</v>
      </c>
      <c r="O43" s="44">
        <f t="shared" si="8"/>
        <v>2383882185.857376</v>
      </c>
    </row>
    <row r="44" spans="1:15" ht="12.75">
      <c r="A44" s="159">
        <v>45005</v>
      </c>
      <c r="B44" s="35">
        <f>IF(DIAS365('CALCULADORA TIV V-1'!$E$6,A44)&lt;0,0,DIAS365('CALCULADORA TIV V-1'!$E$6,A44))</f>
        <v>59</v>
      </c>
      <c r="C44" s="36">
        <f>+HLOOKUP('CALCULADORA TIV V-1'!$E$4,Tablas!$B$1:$B$181,Flujos!J44+1,FALSE)</f>
        <v>0</v>
      </c>
      <c r="D44" s="76">
        <f t="shared" si="0"/>
        <v>0</v>
      </c>
      <c r="E44" s="37">
        <f t="shared" si="2"/>
        <v>0</v>
      </c>
      <c r="F44" s="37">
        <f>ROUND(D43*ROUND(((1+'CALCULADORA TIV V-1'!$C$14)^(1/12)-1),6),6)</f>
        <v>0</v>
      </c>
      <c r="G44" s="37">
        <f t="shared" si="3"/>
        <v>0</v>
      </c>
      <c r="H44" s="38">
        <f>IF($B44=0,0,G44/POWER(1+'CALCULADORA TIV V-1'!$F$11,Flujos!$B44/365))</f>
        <v>0</v>
      </c>
      <c r="I44" s="39">
        <f t="shared" si="1"/>
        <v>45005</v>
      </c>
      <c r="J44" s="40">
        <v>42</v>
      </c>
      <c r="K44" s="41">
        <f t="shared" si="4"/>
        <v>1276</v>
      </c>
      <c r="L44" s="42">
        <f t="shared" si="5"/>
        <v>0</v>
      </c>
      <c r="M44" s="43">
        <f t="shared" si="6"/>
        <v>0</v>
      </c>
      <c r="N44" s="43">
        <f t="shared" si="7"/>
        <v>0</v>
      </c>
      <c r="O44" s="44">
        <f t="shared" si="8"/>
        <v>0</v>
      </c>
    </row>
    <row r="45" spans="1:15" ht="12.75">
      <c r="A45" s="159">
        <v>45036</v>
      </c>
      <c r="B45" s="35">
        <f>IF(DIAS365('CALCULADORA TIV V-1'!$E$6,A45)&lt;0,0,DIAS365('CALCULADORA TIV V-1'!$E$6,A45))</f>
        <v>90</v>
      </c>
      <c r="C45" s="36">
        <f>+HLOOKUP('CALCULADORA TIV V-1'!$E$4,Tablas!$B$1:$B$181,Flujos!J45+1,FALSE)</f>
        <v>0</v>
      </c>
      <c r="D45" s="76">
        <f t="shared" si="0"/>
        <v>0</v>
      </c>
      <c r="E45" s="37">
        <f t="shared" si="2"/>
        <v>0</v>
      </c>
      <c r="F45" s="37">
        <f>ROUND(D44*ROUND(((1+'CALCULADORA TIV V-1'!$C$14)^(1/12)-1),6),6)</f>
        <v>0</v>
      </c>
      <c r="G45" s="37">
        <f t="shared" si="3"/>
        <v>0</v>
      </c>
      <c r="H45" s="38">
        <f>IF($B45=0,0,G45/POWER(1+'CALCULADORA TIV V-1'!$F$11,Flujos!$B45/365))</f>
        <v>0</v>
      </c>
      <c r="I45" s="39">
        <f t="shared" si="1"/>
        <v>45036</v>
      </c>
      <c r="J45" s="40">
        <v>43</v>
      </c>
      <c r="K45" s="41">
        <f t="shared" si="4"/>
        <v>1307</v>
      </c>
      <c r="L45" s="42">
        <f t="shared" si="5"/>
        <v>0</v>
      </c>
      <c r="M45" s="43">
        <f t="shared" si="6"/>
        <v>0</v>
      </c>
      <c r="N45" s="43">
        <f t="shared" si="7"/>
        <v>0</v>
      </c>
      <c r="O45" s="44">
        <f t="shared" si="8"/>
        <v>0</v>
      </c>
    </row>
    <row r="46" spans="1:15" ht="12.75">
      <c r="A46" s="159">
        <v>45066</v>
      </c>
      <c r="B46" s="35">
        <f>IF(DIAS365('CALCULADORA TIV V-1'!$E$6,A46)&lt;0,0,DIAS365('CALCULADORA TIV V-1'!$E$6,A46))</f>
        <v>120</v>
      </c>
      <c r="C46" s="36">
        <f>+HLOOKUP('CALCULADORA TIV V-1'!$E$4,Tablas!$B$1:$B$181,Flujos!J46+1,FALSE)</f>
        <v>0</v>
      </c>
      <c r="D46" s="76">
        <f t="shared" si="0"/>
        <v>0</v>
      </c>
      <c r="E46" s="37">
        <f t="shared" si="2"/>
        <v>0</v>
      </c>
      <c r="F46" s="37">
        <f>ROUND(D45*ROUND(((1+'CALCULADORA TIV V-1'!$C$14)^(1/12)-1),6),6)</f>
        <v>0</v>
      </c>
      <c r="G46" s="37">
        <f t="shared" si="3"/>
        <v>0</v>
      </c>
      <c r="H46" s="38">
        <f>IF($B46=0,0,G46/POWER(1+'CALCULADORA TIV V-1'!$F$11,Flujos!$B46/365))</f>
        <v>0</v>
      </c>
      <c r="I46" s="39">
        <f t="shared" si="1"/>
        <v>45066</v>
      </c>
      <c r="J46" s="40">
        <v>44</v>
      </c>
      <c r="K46" s="41">
        <f t="shared" si="4"/>
        <v>1337</v>
      </c>
      <c r="L46" s="42">
        <f t="shared" si="5"/>
        <v>0</v>
      </c>
      <c r="M46" s="43">
        <f t="shared" si="6"/>
        <v>0</v>
      </c>
      <c r="N46" s="43">
        <f t="shared" si="7"/>
        <v>0</v>
      </c>
      <c r="O46" s="44">
        <f t="shared" si="8"/>
        <v>0</v>
      </c>
    </row>
    <row r="47" spans="1:15" ht="12.75">
      <c r="A47" s="159">
        <v>45097</v>
      </c>
      <c r="B47" s="35">
        <f>IF(DIAS365('CALCULADORA TIV V-1'!$E$6,A47)&lt;0,0,DIAS365('CALCULADORA TIV V-1'!$E$6,A47))</f>
        <v>151</v>
      </c>
      <c r="C47" s="36">
        <f>+HLOOKUP('CALCULADORA TIV V-1'!$E$4,Tablas!$B$1:$B$181,Flujos!J47+1,FALSE)</f>
        <v>0</v>
      </c>
      <c r="D47" s="76">
        <f t="shared" si="0"/>
        <v>0</v>
      </c>
      <c r="E47" s="37">
        <f t="shared" si="2"/>
        <v>0</v>
      </c>
      <c r="F47" s="37">
        <f>ROUND(D46*ROUND(((1+'CALCULADORA TIV V-1'!$C$14)^(1/12)-1),6),6)</f>
        <v>0</v>
      </c>
      <c r="G47" s="37">
        <f t="shared" si="3"/>
        <v>0</v>
      </c>
      <c r="H47" s="38">
        <f>IF($B47=0,0,G47/POWER(1+'CALCULADORA TIV V-1'!$F$11,Flujos!$B47/365))</f>
        <v>0</v>
      </c>
      <c r="I47" s="39">
        <f t="shared" si="1"/>
        <v>45097</v>
      </c>
      <c r="J47" s="40">
        <v>45</v>
      </c>
      <c r="K47" s="41">
        <f t="shared" si="4"/>
        <v>1368</v>
      </c>
      <c r="L47" s="42">
        <f t="shared" si="5"/>
        <v>0</v>
      </c>
      <c r="M47" s="43">
        <f t="shared" si="6"/>
        <v>0</v>
      </c>
      <c r="N47" s="43">
        <f t="shared" si="7"/>
        <v>0</v>
      </c>
      <c r="O47" s="44">
        <f t="shared" si="8"/>
        <v>0</v>
      </c>
    </row>
    <row r="48" spans="1:15" ht="12.75">
      <c r="A48" s="159">
        <v>45127</v>
      </c>
      <c r="B48" s="35">
        <f>IF(DIAS365('CALCULADORA TIV V-1'!$E$6,A48)&lt;0,0,DIAS365('CALCULADORA TIV V-1'!$E$6,A48))</f>
        <v>181</v>
      </c>
      <c r="C48" s="36">
        <f>+HLOOKUP('CALCULADORA TIV V-1'!$E$4,Tablas!$B$1:$B$181,Flujos!J48+1,FALSE)</f>
        <v>0</v>
      </c>
      <c r="D48" s="76">
        <f t="shared" si="0"/>
        <v>0</v>
      </c>
      <c r="E48" s="37">
        <f t="shared" si="2"/>
        <v>0</v>
      </c>
      <c r="F48" s="37">
        <f>ROUND(D47*ROUND(((1+'CALCULADORA TIV V-1'!$C$14)^(1/12)-1),6),6)</f>
        <v>0</v>
      </c>
      <c r="G48" s="37">
        <f t="shared" si="3"/>
        <v>0</v>
      </c>
      <c r="H48" s="38">
        <f>IF($B48=0,0,G48/POWER(1+'CALCULADORA TIV V-1'!$F$11,Flujos!$B48/365))</f>
        <v>0</v>
      </c>
      <c r="I48" s="39">
        <f t="shared" si="1"/>
        <v>45127</v>
      </c>
      <c r="J48" s="40">
        <v>46</v>
      </c>
      <c r="K48" s="41">
        <f t="shared" si="4"/>
        <v>1398</v>
      </c>
      <c r="L48" s="42">
        <f t="shared" si="5"/>
        <v>0</v>
      </c>
      <c r="M48" s="43">
        <f t="shared" si="6"/>
        <v>0</v>
      </c>
      <c r="N48" s="43">
        <f t="shared" si="7"/>
        <v>0</v>
      </c>
      <c r="O48" s="44">
        <f t="shared" si="8"/>
        <v>0</v>
      </c>
    </row>
    <row r="49" spans="1:15" ht="12.75">
      <c r="A49" s="159">
        <v>45158</v>
      </c>
      <c r="B49" s="35">
        <f>IF(DIAS365('CALCULADORA TIV V-1'!$E$6,A49)&lt;0,0,DIAS365('CALCULADORA TIV V-1'!$E$6,A49))</f>
        <v>212</v>
      </c>
      <c r="C49" s="36">
        <f>+HLOOKUP('CALCULADORA TIV V-1'!$E$4,Tablas!$B$1:$B$181,Flujos!J49+1,FALSE)</f>
        <v>0</v>
      </c>
      <c r="D49" s="76">
        <f t="shared" si="0"/>
        <v>0</v>
      </c>
      <c r="E49" s="37">
        <f t="shared" si="2"/>
        <v>0</v>
      </c>
      <c r="F49" s="37">
        <f>ROUND(D48*ROUND(((1+'CALCULADORA TIV V-1'!$C$14)^(1/12)-1),6),6)</f>
        <v>0</v>
      </c>
      <c r="G49" s="37">
        <f t="shared" si="3"/>
        <v>0</v>
      </c>
      <c r="H49" s="38">
        <f>IF($B49=0,0,G49/POWER(1+'CALCULADORA TIV V-1'!$F$11,Flujos!$B49/365))</f>
        <v>0</v>
      </c>
      <c r="I49" s="39">
        <f t="shared" si="1"/>
        <v>45158</v>
      </c>
      <c r="J49" s="40">
        <v>47</v>
      </c>
      <c r="K49" s="41">
        <f t="shared" si="4"/>
        <v>1429</v>
      </c>
      <c r="L49" s="42">
        <f t="shared" si="5"/>
        <v>0</v>
      </c>
      <c r="M49" s="43">
        <f t="shared" si="6"/>
        <v>0</v>
      </c>
      <c r="N49" s="43">
        <f t="shared" si="7"/>
        <v>0</v>
      </c>
      <c r="O49" s="44">
        <f t="shared" si="8"/>
        <v>0</v>
      </c>
    </row>
    <row r="50" spans="1:15" ht="12.75">
      <c r="A50" s="159">
        <v>45189</v>
      </c>
      <c r="B50" s="35">
        <f>IF(DIAS365('CALCULADORA TIV V-1'!$E$6,A50)&lt;0,0,DIAS365('CALCULADORA TIV V-1'!$E$6,A50))</f>
        <v>243</v>
      </c>
      <c r="C50" s="36">
        <f>+HLOOKUP('CALCULADORA TIV V-1'!$E$4,Tablas!$B$1:$B$181,Flujos!J50+1,FALSE)</f>
        <v>0</v>
      </c>
      <c r="D50" s="76">
        <f t="shared" si="0"/>
        <v>0</v>
      </c>
      <c r="E50" s="37">
        <f t="shared" si="2"/>
        <v>0</v>
      </c>
      <c r="F50" s="37">
        <f>ROUND(D49*ROUND(((1+'CALCULADORA TIV V-1'!$C$14)^(1/12)-1),6),6)</f>
        <v>0</v>
      </c>
      <c r="G50" s="37">
        <f t="shared" si="3"/>
        <v>0</v>
      </c>
      <c r="H50" s="38">
        <f>IF($B50=0,0,G50/POWER(1+'CALCULADORA TIV V-1'!$F$11,Flujos!$B50/365))</f>
        <v>0</v>
      </c>
      <c r="I50" s="39">
        <f t="shared" si="1"/>
        <v>45189</v>
      </c>
      <c r="J50" s="40">
        <v>48</v>
      </c>
      <c r="K50" s="41">
        <f t="shared" si="4"/>
        <v>1460</v>
      </c>
      <c r="L50" s="42">
        <f t="shared" si="5"/>
        <v>0</v>
      </c>
      <c r="M50" s="43">
        <f t="shared" si="6"/>
        <v>0</v>
      </c>
      <c r="N50" s="43">
        <f t="shared" si="7"/>
        <v>0</v>
      </c>
      <c r="O50" s="44">
        <f t="shared" si="8"/>
        <v>0</v>
      </c>
    </row>
    <row r="51" spans="1:15" ht="12.75">
      <c r="A51" s="159">
        <v>45219</v>
      </c>
      <c r="B51" s="35">
        <f>IF(DIAS365('CALCULADORA TIV V-1'!$E$6,A51)&lt;0,0,DIAS365('CALCULADORA TIV V-1'!$E$6,A51))</f>
        <v>273</v>
      </c>
      <c r="C51" s="36">
        <f>+HLOOKUP('CALCULADORA TIV V-1'!$E$4,Tablas!$B$1:$B$181,Flujos!J51+1,FALSE)</f>
        <v>0</v>
      </c>
      <c r="D51" s="76">
        <f t="shared" si="0"/>
        <v>0</v>
      </c>
      <c r="E51" s="37">
        <f t="shared" si="2"/>
        <v>0</v>
      </c>
      <c r="F51" s="37">
        <f>ROUND(D50*ROUND(((1+'CALCULADORA TIV V-1'!$C$14)^(1/12)-1),6),6)</f>
        <v>0</v>
      </c>
      <c r="G51" s="37">
        <f t="shared" si="3"/>
        <v>0</v>
      </c>
      <c r="H51" s="38">
        <f>IF($B51=0,0,G51/POWER(1+'CALCULADORA TIV V-1'!$F$11,Flujos!$B51/365))</f>
        <v>0</v>
      </c>
      <c r="I51" s="39">
        <f t="shared" si="1"/>
        <v>45219</v>
      </c>
      <c r="J51" s="40">
        <v>49</v>
      </c>
      <c r="K51" s="41">
        <f t="shared" si="4"/>
        <v>1490</v>
      </c>
      <c r="L51" s="42">
        <f t="shared" si="5"/>
        <v>0</v>
      </c>
      <c r="M51" s="43">
        <f t="shared" si="6"/>
        <v>0</v>
      </c>
      <c r="N51" s="43">
        <f t="shared" si="7"/>
        <v>0</v>
      </c>
      <c r="O51" s="44">
        <f t="shared" si="8"/>
        <v>0</v>
      </c>
    </row>
    <row r="52" spans="1:15" ht="12.75">
      <c r="A52" s="159">
        <v>45250</v>
      </c>
      <c r="B52" s="35">
        <f>IF(DIAS365('CALCULADORA TIV V-1'!$E$6,A52)&lt;0,0,DIAS365('CALCULADORA TIV V-1'!$E$6,A52))</f>
        <v>304</v>
      </c>
      <c r="C52" s="36">
        <f>+HLOOKUP('CALCULADORA TIV V-1'!$E$4,Tablas!$B$1:$B$181,Flujos!J52+1,FALSE)</f>
        <v>0</v>
      </c>
      <c r="D52" s="76">
        <f t="shared" si="0"/>
        <v>0</v>
      </c>
      <c r="E52" s="37">
        <f t="shared" si="2"/>
        <v>0</v>
      </c>
      <c r="F52" s="37">
        <f>ROUND(D51*ROUND(((1+'CALCULADORA TIV V-1'!$C$14)^(1/12)-1),6),6)</f>
        <v>0</v>
      </c>
      <c r="G52" s="37">
        <f t="shared" si="3"/>
        <v>0</v>
      </c>
      <c r="H52" s="38">
        <f>IF($B52=0,0,G52/POWER(1+'CALCULADORA TIV V-1'!$F$11,Flujos!$B52/365))</f>
        <v>0</v>
      </c>
      <c r="I52" s="39">
        <f t="shared" si="1"/>
        <v>45250</v>
      </c>
      <c r="J52" s="40">
        <v>50</v>
      </c>
      <c r="K52" s="41">
        <f t="shared" si="4"/>
        <v>1521</v>
      </c>
      <c r="L52" s="42">
        <f t="shared" si="5"/>
        <v>0</v>
      </c>
      <c r="M52" s="43">
        <f t="shared" si="6"/>
        <v>0</v>
      </c>
      <c r="N52" s="43">
        <f t="shared" si="7"/>
        <v>0</v>
      </c>
      <c r="O52" s="44">
        <f t="shared" si="8"/>
        <v>0</v>
      </c>
    </row>
    <row r="53" spans="1:15" ht="12.75">
      <c r="A53" s="159">
        <v>45280</v>
      </c>
      <c r="B53" s="35">
        <f>IF(DIAS365('CALCULADORA TIV V-1'!$E$6,A53)&lt;0,0,DIAS365('CALCULADORA TIV V-1'!$E$6,A53))</f>
        <v>334</v>
      </c>
      <c r="C53" s="36">
        <f>+HLOOKUP('CALCULADORA TIV V-1'!$E$4,Tablas!$B$1:$B$181,Flujos!J53+1,FALSE)</f>
        <v>0</v>
      </c>
      <c r="D53" s="76">
        <f t="shared" si="0"/>
        <v>0</v>
      </c>
      <c r="E53" s="37">
        <f t="shared" si="2"/>
        <v>0</v>
      </c>
      <c r="F53" s="37">
        <f>ROUND(D52*ROUND(((1+'CALCULADORA TIV V-1'!$C$14)^(1/12)-1),6),6)</f>
        <v>0</v>
      </c>
      <c r="G53" s="37">
        <f t="shared" si="3"/>
        <v>0</v>
      </c>
      <c r="H53" s="38">
        <f>IF($B53=0,0,G53/POWER(1+'CALCULADORA TIV V-1'!$F$11,Flujos!$B53/365))</f>
        <v>0</v>
      </c>
      <c r="I53" s="39">
        <f t="shared" si="1"/>
        <v>45280</v>
      </c>
      <c r="J53" s="40">
        <v>51</v>
      </c>
      <c r="K53" s="41">
        <f t="shared" si="4"/>
        <v>1551</v>
      </c>
      <c r="L53" s="42">
        <f t="shared" si="5"/>
        <v>0</v>
      </c>
      <c r="M53" s="43">
        <f t="shared" si="6"/>
        <v>0</v>
      </c>
      <c r="N53" s="43">
        <f t="shared" si="7"/>
        <v>0</v>
      </c>
      <c r="O53" s="44">
        <f t="shared" si="8"/>
        <v>0</v>
      </c>
    </row>
    <row r="54" spans="1:15" ht="12.75">
      <c r="A54" s="159">
        <v>45311</v>
      </c>
      <c r="B54" s="35">
        <f>IF(DIAS365('CALCULADORA TIV V-1'!$E$6,A54)&lt;0,0,DIAS365('CALCULADORA TIV V-1'!$E$6,A54))</f>
        <v>365</v>
      </c>
      <c r="C54" s="36">
        <f>+HLOOKUP('CALCULADORA TIV V-1'!$E$4,Tablas!$B$1:$B$181,Flujos!J54+1,FALSE)</f>
        <v>0</v>
      </c>
      <c r="D54" s="76">
        <f t="shared" si="0"/>
        <v>0</v>
      </c>
      <c r="E54" s="37">
        <f t="shared" si="2"/>
        <v>0</v>
      </c>
      <c r="F54" s="37">
        <f>ROUND(D53*ROUND(((1+'CALCULADORA TIV V-1'!$C$14)^(1/12)-1),6),6)</f>
        <v>0</v>
      </c>
      <c r="G54" s="37">
        <f t="shared" si="3"/>
        <v>0</v>
      </c>
      <c r="H54" s="38">
        <f>IF($B54=0,0,G54/POWER(1+'CALCULADORA TIV V-1'!$F$11,Flujos!$B54/365))</f>
        <v>0</v>
      </c>
      <c r="I54" s="39">
        <f t="shared" si="1"/>
        <v>45311</v>
      </c>
      <c r="J54" s="40">
        <v>52</v>
      </c>
      <c r="K54" s="41">
        <f t="shared" si="4"/>
        <v>1582</v>
      </c>
      <c r="L54" s="42">
        <f t="shared" si="5"/>
        <v>0</v>
      </c>
      <c r="M54" s="43">
        <f t="shared" si="6"/>
        <v>0</v>
      </c>
      <c r="N54" s="43">
        <f t="shared" si="7"/>
        <v>0</v>
      </c>
      <c r="O54" s="44">
        <f t="shared" si="8"/>
        <v>0</v>
      </c>
    </row>
    <row r="55" spans="1:15" ht="12.75">
      <c r="A55" s="159">
        <v>45342</v>
      </c>
      <c r="B55" s="35">
        <f>IF(DIAS365('CALCULADORA TIV V-1'!$E$6,A55)&lt;0,0,DIAS365('CALCULADORA TIV V-1'!$E$6,A55))</f>
        <v>396</v>
      </c>
      <c r="C55" s="36">
        <f>+HLOOKUP('CALCULADORA TIV V-1'!$E$4,Tablas!$B$1:$B$181,Flujos!J55+1,FALSE)</f>
        <v>0</v>
      </c>
      <c r="D55" s="76">
        <f t="shared" si="0"/>
        <v>0</v>
      </c>
      <c r="E55" s="37">
        <f t="shared" si="2"/>
        <v>0</v>
      </c>
      <c r="F55" s="37">
        <f>ROUND(D54*ROUND(((1+'CALCULADORA TIV V-1'!$C$14)^(1/12)-1),6),6)</f>
        <v>0</v>
      </c>
      <c r="G55" s="37">
        <f t="shared" si="3"/>
        <v>0</v>
      </c>
      <c r="H55" s="38">
        <f>IF($B55=0,0,G55/POWER(1+'CALCULADORA TIV V-1'!$F$11,Flujos!$B55/365))</f>
        <v>0</v>
      </c>
      <c r="I55" s="39">
        <f t="shared" si="1"/>
        <v>45342</v>
      </c>
      <c r="J55" s="40">
        <v>53</v>
      </c>
      <c r="K55" s="41">
        <f t="shared" si="4"/>
        <v>1613</v>
      </c>
      <c r="L55" s="42">
        <f t="shared" si="5"/>
        <v>0</v>
      </c>
      <c r="M55" s="43">
        <f t="shared" si="6"/>
        <v>0</v>
      </c>
      <c r="N55" s="43">
        <f t="shared" si="7"/>
        <v>0</v>
      </c>
      <c r="O55" s="44">
        <f t="shared" si="8"/>
        <v>0</v>
      </c>
    </row>
    <row r="56" spans="1:15" ht="12.75">
      <c r="A56" s="159">
        <v>45371</v>
      </c>
      <c r="B56" s="35">
        <f>IF(DIAS365('CALCULADORA TIV V-1'!$E$6,A56)&lt;0,0,DIAS365('CALCULADORA TIV V-1'!$E$6,A56))</f>
        <v>424</v>
      </c>
      <c r="C56" s="36">
        <f>+HLOOKUP('CALCULADORA TIV V-1'!$E$4,Tablas!$B$1:$B$181,Flujos!J56+1,FALSE)</f>
        <v>0</v>
      </c>
      <c r="D56" s="76">
        <f t="shared" si="0"/>
        <v>0</v>
      </c>
      <c r="E56" s="37">
        <f t="shared" si="2"/>
        <v>0</v>
      </c>
      <c r="F56" s="37">
        <f>ROUND(D55*ROUND(((1+'CALCULADORA TIV V-1'!$C$14)^(1/12)-1),6),6)</f>
        <v>0</v>
      </c>
      <c r="G56" s="37">
        <f t="shared" si="3"/>
        <v>0</v>
      </c>
      <c r="H56" s="38">
        <f>IF($B56=0,0,G56/POWER(1+'CALCULADORA TIV V-1'!$F$11,Flujos!$B56/365))</f>
        <v>0</v>
      </c>
      <c r="I56" s="39">
        <f t="shared" si="1"/>
        <v>45371</v>
      </c>
      <c r="J56" s="40">
        <v>54</v>
      </c>
      <c r="K56" s="41">
        <f t="shared" si="4"/>
        <v>1641</v>
      </c>
      <c r="L56" s="42">
        <f t="shared" si="5"/>
        <v>0</v>
      </c>
      <c r="M56" s="43">
        <f t="shared" si="6"/>
        <v>0</v>
      </c>
      <c r="N56" s="43">
        <f t="shared" si="7"/>
        <v>0</v>
      </c>
      <c r="O56" s="44">
        <f t="shared" si="8"/>
        <v>0</v>
      </c>
    </row>
    <row r="57" spans="1:15" ht="12.75">
      <c r="A57" s="159">
        <v>45402</v>
      </c>
      <c r="B57" s="35">
        <f>IF(DIAS365('CALCULADORA TIV V-1'!$E$6,A57)&lt;0,0,DIAS365('CALCULADORA TIV V-1'!$E$6,A57))</f>
        <v>455</v>
      </c>
      <c r="C57" s="36">
        <f>+HLOOKUP('CALCULADORA TIV V-1'!$E$4,Tablas!$B$1:$B$181,Flujos!J57+1,FALSE)</f>
        <v>0</v>
      </c>
      <c r="D57" s="76">
        <f t="shared" si="0"/>
        <v>0</v>
      </c>
      <c r="E57" s="37">
        <f t="shared" si="2"/>
        <v>0</v>
      </c>
      <c r="F57" s="37">
        <f>ROUND(D56*ROUND(((1+'CALCULADORA TIV V-1'!$C$14)^(1/12)-1),6),6)</f>
        <v>0</v>
      </c>
      <c r="G57" s="37">
        <f t="shared" si="3"/>
        <v>0</v>
      </c>
      <c r="H57" s="38">
        <f>IF($B57=0,0,G57/POWER(1+'CALCULADORA TIV V-1'!$F$11,Flujos!$B57/365))</f>
        <v>0</v>
      </c>
      <c r="I57" s="39">
        <f t="shared" si="1"/>
        <v>45402</v>
      </c>
      <c r="J57" s="40">
        <v>55</v>
      </c>
      <c r="K57" s="41">
        <f t="shared" si="4"/>
        <v>1672</v>
      </c>
      <c r="L57" s="42">
        <f t="shared" si="5"/>
        <v>0</v>
      </c>
      <c r="M57" s="43">
        <f t="shared" si="6"/>
        <v>0</v>
      </c>
      <c r="N57" s="43">
        <f t="shared" si="7"/>
        <v>0</v>
      </c>
      <c r="O57" s="44">
        <f t="shared" si="8"/>
        <v>0</v>
      </c>
    </row>
    <row r="58" spans="1:15" ht="12.75">
      <c r="A58" s="159">
        <v>45432</v>
      </c>
      <c r="B58" s="35">
        <f>IF(DIAS365('CALCULADORA TIV V-1'!$E$6,A58)&lt;0,0,DIAS365('CALCULADORA TIV V-1'!$E$6,A58))</f>
        <v>485</v>
      </c>
      <c r="C58" s="36">
        <f>+HLOOKUP('CALCULADORA TIV V-1'!$E$4,Tablas!$B$1:$B$181,Flujos!J58+1,FALSE)</f>
        <v>0</v>
      </c>
      <c r="D58" s="76">
        <f t="shared" si="0"/>
        <v>0</v>
      </c>
      <c r="E58" s="37">
        <f t="shared" si="2"/>
        <v>0</v>
      </c>
      <c r="F58" s="37">
        <f>ROUND(D57*ROUND(((1+'CALCULADORA TIV V-1'!$C$14)^(1/12)-1),6),6)</f>
        <v>0</v>
      </c>
      <c r="G58" s="37">
        <f t="shared" si="3"/>
        <v>0</v>
      </c>
      <c r="H58" s="38">
        <f>IF($B58=0,0,G58/POWER(1+'CALCULADORA TIV V-1'!$F$11,Flujos!$B58/365))</f>
        <v>0</v>
      </c>
      <c r="I58" s="39">
        <f t="shared" si="1"/>
        <v>45432</v>
      </c>
      <c r="J58" s="40">
        <v>56</v>
      </c>
      <c r="K58" s="41">
        <f t="shared" si="4"/>
        <v>1702</v>
      </c>
      <c r="L58" s="42">
        <f t="shared" si="5"/>
        <v>0</v>
      </c>
      <c r="M58" s="43">
        <f t="shared" si="6"/>
        <v>0</v>
      </c>
      <c r="N58" s="43">
        <f t="shared" si="7"/>
        <v>0</v>
      </c>
      <c r="O58" s="44">
        <f t="shared" si="8"/>
        <v>0</v>
      </c>
    </row>
    <row r="59" spans="1:15" ht="12.75">
      <c r="A59" s="159">
        <v>45463</v>
      </c>
      <c r="B59" s="35">
        <f>IF(DIAS365('CALCULADORA TIV V-1'!$E$6,A59)&lt;0,0,DIAS365('CALCULADORA TIV V-1'!$E$6,A59))</f>
        <v>516</v>
      </c>
      <c r="C59" s="36">
        <f>+HLOOKUP('CALCULADORA TIV V-1'!$E$4,Tablas!$B$1:$B$181,Flujos!J59+1,FALSE)</f>
        <v>0</v>
      </c>
      <c r="D59" s="76">
        <f t="shared" si="0"/>
        <v>0</v>
      </c>
      <c r="E59" s="37">
        <f t="shared" si="2"/>
        <v>0</v>
      </c>
      <c r="F59" s="37">
        <f>ROUND(D58*ROUND(((1+'CALCULADORA TIV V-1'!$C$14)^(1/12)-1),6),6)</f>
        <v>0</v>
      </c>
      <c r="G59" s="37">
        <f t="shared" si="3"/>
        <v>0</v>
      </c>
      <c r="H59" s="38">
        <f>IF($B59=0,0,G59/POWER(1+'CALCULADORA TIV V-1'!$F$11,Flujos!$B59/365))</f>
        <v>0</v>
      </c>
      <c r="I59" s="39">
        <f t="shared" si="1"/>
        <v>45463</v>
      </c>
      <c r="J59" s="40">
        <v>57</v>
      </c>
      <c r="K59" s="41">
        <f t="shared" si="4"/>
        <v>1733</v>
      </c>
      <c r="L59" s="42">
        <f t="shared" si="5"/>
        <v>0</v>
      </c>
      <c r="M59" s="43">
        <f t="shared" si="6"/>
        <v>0</v>
      </c>
      <c r="N59" s="43">
        <f t="shared" si="7"/>
        <v>0</v>
      </c>
      <c r="O59" s="44">
        <f t="shared" si="8"/>
        <v>0</v>
      </c>
    </row>
    <row r="60" spans="1:15" ht="12.75">
      <c r="A60" s="159">
        <v>45493</v>
      </c>
      <c r="B60" s="35">
        <f>IF(DIAS365('CALCULADORA TIV V-1'!$E$6,A60)&lt;0,0,DIAS365('CALCULADORA TIV V-1'!$E$6,A60))</f>
        <v>546</v>
      </c>
      <c r="C60" s="36">
        <f>+HLOOKUP('CALCULADORA TIV V-1'!$E$4,Tablas!$B$1:$B$181,Flujos!J60+1,FALSE)</f>
        <v>0</v>
      </c>
      <c r="D60" s="76">
        <f t="shared" si="0"/>
        <v>0</v>
      </c>
      <c r="E60" s="37">
        <f t="shared" si="2"/>
        <v>0</v>
      </c>
      <c r="F60" s="37">
        <f>ROUND(D59*ROUND(((1+'CALCULADORA TIV V-1'!$C$14)^(1/12)-1),6),6)</f>
        <v>0</v>
      </c>
      <c r="G60" s="37">
        <f t="shared" si="3"/>
        <v>0</v>
      </c>
      <c r="H60" s="38">
        <f>IF($B60=0,0,G60/POWER(1+'CALCULADORA TIV V-1'!$F$11,Flujos!$B60/365))</f>
        <v>0</v>
      </c>
      <c r="I60" s="39">
        <f t="shared" si="1"/>
        <v>45493</v>
      </c>
      <c r="J60" s="40">
        <v>58</v>
      </c>
      <c r="K60" s="41">
        <f t="shared" si="4"/>
        <v>1763</v>
      </c>
      <c r="L60" s="42">
        <f t="shared" si="5"/>
        <v>0</v>
      </c>
      <c r="M60" s="43">
        <f t="shared" si="6"/>
        <v>0</v>
      </c>
      <c r="N60" s="43">
        <f t="shared" si="7"/>
        <v>0</v>
      </c>
      <c r="O60" s="44">
        <f t="shared" si="8"/>
        <v>0</v>
      </c>
    </row>
    <row r="61" spans="1:15" ht="12.75">
      <c r="A61" s="159">
        <v>45524</v>
      </c>
      <c r="B61" s="35">
        <f>IF(DIAS365('CALCULADORA TIV V-1'!$E$6,A61)&lt;0,0,DIAS365('CALCULADORA TIV V-1'!$E$6,A61))</f>
        <v>577</v>
      </c>
      <c r="C61" s="36">
        <f>+HLOOKUP('CALCULADORA TIV V-1'!$E$4,Tablas!$B$1:$B$181,Flujos!J61+1,FALSE)</f>
        <v>0</v>
      </c>
      <c r="D61" s="76">
        <f t="shared" si="0"/>
        <v>0</v>
      </c>
      <c r="E61" s="37">
        <f t="shared" si="2"/>
        <v>0</v>
      </c>
      <c r="F61" s="37">
        <f>ROUND(D60*ROUND(((1+'CALCULADORA TIV V-1'!$C$14)^(1/12)-1),6),6)</f>
        <v>0</v>
      </c>
      <c r="G61" s="37">
        <f t="shared" si="3"/>
        <v>0</v>
      </c>
      <c r="H61" s="38">
        <f>IF($B61=0,0,G61/POWER(1+'CALCULADORA TIV V-1'!$F$11,Flujos!$B61/365))</f>
        <v>0</v>
      </c>
      <c r="I61" s="39">
        <f t="shared" si="1"/>
        <v>45524</v>
      </c>
      <c r="J61" s="40">
        <v>59</v>
      </c>
      <c r="K61" s="41">
        <f t="shared" si="4"/>
        <v>1794</v>
      </c>
      <c r="L61" s="42">
        <f t="shared" si="5"/>
        <v>0</v>
      </c>
      <c r="M61" s="43">
        <f t="shared" si="6"/>
        <v>0</v>
      </c>
      <c r="N61" s="43">
        <f t="shared" si="7"/>
        <v>0</v>
      </c>
      <c r="O61" s="44">
        <f t="shared" si="8"/>
        <v>0</v>
      </c>
    </row>
    <row r="62" spans="1:15" ht="12.75">
      <c r="A62" s="159">
        <v>45555</v>
      </c>
      <c r="B62" s="35">
        <f>IF(DIAS365('CALCULADORA TIV V-1'!$E$6,A62)&lt;0,0,DIAS365('CALCULADORA TIV V-1'!$E$6,A62))</f>
        <v>608</v>
      </c>
      <c r="C62" s="36">
        <f>+HLOOKUP('CALCULADORA TIV V-1'!$E$4,Tablas!$B$1:$B$181,Flujos!J62+1,FALSE)</f>
        <v>0</v>
      </c>
      <c r="D62" s="76">
        <f t="shared" si="0"/>
        <v>0</v>
      </c>
      <c r="E62" s="37">
        <f t="shared" si="2"/>
        <v>0</v>
      </c>
      <c r="F62" s="37">
        <f>ROUND(D61*ROUND(((1+'CALCULADORA TIV V-1'!$C$14)^(1/12)-1),6),6)</f>
        <v>0</v>
      </c>
      <c r="G62" s="37">
        <f t="shared" si="3"/>
        <v>0</v>
      </c>
      <c r="H62" s="38">
        <f>IF($B62=0,0,G62/POWER(1+'CALCULADORA TIV V-1'!$F$11,Flujos!$B62/365))</f>
        <v>0</v>
      </c>
      <c r="I62" s="39">
        <f t="shared" si="1"/>
        <v>45555</v>
      </c>
      <c r="J62" s="40">
        <v>60</v>
      </c>
      <c r="K62" s="41">
        <f t="shared" si="4"/>
        <v>1825</v>
      </c>
      <c r="L62" s="42">
        <f t="shared" si="5"/>
        <v>0</v>
      </c>
      <c r="M62" s="43">
        <f t="shared" si="6"/>
        <v>0</v>
      </c>
      <c r="N62" s="43">
        <f t="shared" si="7"/>
        <v>0</v>
      </c>
      <c r="O62" s="44">
        <f t="shared" si="8"/>
        <v>0</v>
      </c>
    </row>
    <row r="63" spans="1:15" ht="12.75">
      <c r="A63" s="159">
        <v>45585</v>
      </c>
      <c r="B63" s="35">
        <f>IF(DIAS365('CALCULADORA TIV V-1'!$E$6,A63)&lt;0,0,DIAS365('CALCULADORA TIV V-1'!$E$6,A63))</f>
        <v>638</v>
      </c>
      <c r="C63" s="36">
        <f>+HLOOKUP('CALCULADORA TIV V-1'!$E$4,Tablas!$B$1:$B$181,Flujos!J63+1,FALSE)</f>
        <v>0</v>
      </c>
      <c r="D63" s="76">
        <f t="shared" si="0"/>
        <v>0</v>
      </c>
      <c r="E63" s="37">
        <f t="shared" si="2"/>
        <v>0</v>
      </c>
      <c r="F63" s="37">
        <f>ROUND(D62*ROUND(((1+'CALCULADORA TIV V-1'!$C$14)^(1/12)-1),6),6)</f>
        <v>0</v>
      </c>
      <c r="G63" s="37">
        <f t="shared" si="3"/>
        <v>0</v>
      </c>
      <c r="H63" s="38">
        <f>IF($B63=0,0,G63/POWER(1+'CALCULADORA TIV V-1'!$F$11,Flujos!$B63/365))</f>
        <v>0</v>
      </c>
      <c r="I63" s="39">
        <f t="shared" si="1"/>
        <v>45585</v>
      </c>
      <c r="J63" s="40">
        <v>61</v>
      </c>
      <c r="K63" s="41">
        <f t="shared" si="4"/>
        <v>1855</v>
      </c>
      <c r="L63" s="42">
        <f t="shared" si="5"/>
        <v>0</v>
      </c>
      <c r="M63" s="43">
        <f t="shared" si="6"/>
        <v>0</v>
      </c>
      <c r="N63" s="43">
        <f t="shared" si="7"/>
        <v>0</v>
      </c>
      <c r="O63" s="44">
        <f t="shared" si="8"/>
        <v>0</v>
      </c>
    </row>
    <row r="64" spans="1:15" ht="12.75">
      <c r="A64" s="159">
        <v>45616</v>
      </c>
      <c r="B64" s="35">
        <f>IF(DIAS365('CALCULADORA TIV V-1'!$E$6,A64)&lt;0,0,DIAS365('CALCULADORA TIV V-1'!$E$6,A64))</f>
        <v>669</v>
      </c>
      <c r="C64" s="36">
        <f>+HLOOKUP('CALCULADORA TIV V-1'!$E$4,Tablas!$B$1:$B$181,Flujos!J64+1,FALSE)</f>
        <v>0</v>
      </c>
      <c r="D64" s="76">
        <f t="shared" si="0"/>
        <v>0</v>
      </c>
      <c r="E64" s="37">
        <f t="shared" si="2"/>
        <v>0</v>
      </c>
      <c r="F64" s="37">
        <f>ROUND(D63*ROUND(((1+'CALCULADORA TIV V-1'!$C$14)^(1/12)-1),6),6)</f>
        <v>0</v>
      </c>
      <c r="G64" s="37">
        <f t="shared" si="3"/>
        <v>0</v>
      </c>
      <c r="H64" s="38">
        <f>IF($B64=0,0,G64/POWER(1+'CALCULADORA TIV V-1'!$F$11,Flujos!$B64/365))</f>
        <v>0</v>
      </c>
      <c r="I64" s="39">
        <f t="shared" si="1"/>
        <v>45616</v>
      </c>
      <c r="J64" s="40">
        <v>62</v>
      </c>
      <c r="K64" s="41">
        <f t="shared" si="4"/>
        <v>1886</v>
      </c>
      <c r="L64" s="42">
        <f t="shared" si="5"/>
        <v>0</v>
      </c>
      <c r="M64" s="43">
        <f t="shared" si="6"/>
        <v>0</v>
      </c>
      <c r="N64" s="43">
        <f t="shared" si="7"/>
        <v>0</v>
      </c>
      <c r="O64" s="44">
        <f t="shared" si="8"/>
        <v>0</v>
      </c>
    </row>
    <row r="65" spans="1:15" ht="12.75">
      <c r="A65" s="159">
        <v>45646</v>
      </c>
      <c r="B65" s="35">
        <f>IF(DIAS365('CALCULADORA TIV V-1'!$E$6,A65)&lt;0,0,DIAS365('CALCULADORA TIV V-1'!$E$6,A65))</f>
        <v>699</v>
      </c>
      <c r="C65" s="36">
        <f>+HLOOKUP('CALCULADORA TIV V-1'!$E$4,Tablas!$B$1:$B$181,Flujos!J65+1,FALSE)</f>
        <v>0</v>
      </c>
      <c r="D65" s="76">
        <f t="shared" si="0"/>
        <v>0</v>
      </c>
      <c r="E65" s="37">
        <f t="shared" si="2"/>
        <v>0</v>
      </c>
      <c r="F65" s="37">
        <f>ROUND(D64*ROUND(((1+'CALCULADORA TIV V-1'!$C$14)^(1/12)-1),6),6)</f>
        <v>0</v>
      </c>
      <c r="G65" s="37">
        <f t="shared" si="3"/>
        <v>0</v>
      </c>
      <c r="H65" s="38">
        <f>IF($B65=0,0,G65/POWER(1+'CALCULADORA TIV V-1'!$F$11,Flujos!$B65/365))</f>
        <v>0</v>
      </c>
      <c r="I65" s="39">
        <f t="shared" si="1"/>
        <v>45646</v>
      </c>
      <c r="J65" s="40">
        <v>63</v>
      </c>
      <c r="K65" s="41">
        <f t="shared" si="4"/>
        <v>1916</v>
      </c>
      <c r="L65" s="42">
        <f t="shared" si="5"/>
        <v>0</v>
      </c>
      <c r="M65" s="43">
        <f t="shared" si="6"/>
        <v>0</v>
      </c>
      <c r="N65" s="43">
        <f t="shared" si="7"/>
        <v>0</v>
      </c>
      <c r="O65" s="44">
        <f t="shared" si="8"/>
        <v>0</v>
      </c>
    </row>
    <row r="66" spans="1:15" ht="12.75">
      <c r="A66" s="159">
        <v>45677</v>
      </c>
      <c r="B66" s="35">
        <f>IF(DIAS365('CALCULADORA TIV V-1'!$E$6,A66)&lt;0,0,DIAS365('CALCULADORA TIV V-1'!$E$6,A66))</f>
        <v>730</v>
      </c>
      <c r="C66" s="36">
        <f>+HLOOKUP('CALCULADORA TIV V-1'!$E$4,Tablas!$B$1:$B$181,Flujos!J66+1,FALSE)</f>
        <v>0</v>
      </c>
      <c r="D66" s="76">
        <f t="shared" si="0"/>
        <v>0</v>
      </c>
      <c r="E66" s="37">
        <f t="shared" si="2"/>
        <v>0</v>
      </c>
      <c r="F66" s="37">
        <f>ROUND(D65*ROUND(((1+'CALCULADORA TIV V-1'!$C$14)^(1/12)-1),6),6)</f>
        <v>0</v>
      </c>
      <c r="G66" s="37">
        <f t="shared" si="3"/>
        <v>0</v>
      </c>
      <c r="H66" s="38">
        <f>IF($B66=0,0,G66/POWER(1+'CALCULADORA TIV V-1'!$F$11,Flujos!$B66/365))</f>
        <v>0</v>
      </c>
      <c r="I66" s="39">
        <f t="shared" si="1"/>
        <v>45677</v>
      </c>
      <c r="J66" s="40">
        <v>64</v>
      </c>
      <c r="K66" s="41">
        <f t="shared" si="4"/>
        <v>1947</v>
      </c>
      <c r="L66" s="42">
        <f t="shared" si="5"/>
        <v>0</v>
      </c>
      <c r="M66" s="43">
        <f t="shared" si="6"/>
        <v>0</v>
      </c>
      <c r="N66" s="43">
        <f t="shared" si="7"/>
        <v>0</v>
      </c>
      <c r="O66" s="44">
        <f t="shared" si="8"/>
        <v>0</v>
      </c>
    </row>
    <row r="67" spans="1:15" ht="12.75">
      <c r="A67" s="159">
        <v>45708</v>
      </c>
      <c r="B67" s="35">
        <f>IF(DIAS365('CALCULADORA TIV V-1'!$E$6,A67)&lt;0,0,DIAS365('CALCULADORA TIV V-1'!$E$6,A67))</f>
        <v>761</v>
      </c>
      <c r="C67" s="36">
        <f>+HLOOKUP('CALCULADORA TIV V-1'!$E$4,Tablas!$B$1:$B$181,Flujos!J67+1,FALSE)</f>
        <v>0</v>
      </c>
      <c r="D67" s="76">
        <f aca="true" t="shared" si="9" ref="D67:D130">IF(+ROUND(D66-E67,15)&lt;0.000001,0,ROUND(D66-E67,15))</f>
        <v>0</v>
      </c>
      <c r="E67" s="37">
        <f t="shared" si="2"/>
        <v>0</v>
      </c>
      <c r="F67" s="37">
        <f>ROUND(D66*ROUND(((1+'CALCULADORA TIV V-1'!$C$14)^(1/12)-1),6),6)</f>
        <v>0</v>
      </c>
      <c r="G67" s="37">
        <f t="shared" si="3"/>
        <v>0</v>
      </c>
      <c r="H67" s="38">
        <f>IF($B67=0,0,G67/POWER(1+'CALCULADORA TIV V-1'!$F$11,Flujos!$B67/365))</f>
        <v>0</v>
      </c>
      <c r="I67" s="39">
        <f aca="true" t="shared" si="10" ref="I67:I130">+A67</f>
        <v>45708</v>
      </c>
      <c r="J67" s="40">
        <v>65</v>
      </c>
      <c r="K67" s="41">
        <f t="shared" si="4"/>
        <v>1978</v>
      </c>
      <c r="L67" s="42">
        <f t="shared" si="5"/>
        <v>0</v>
      </c>
      <c r="M67" s="43">
        <f t="shared" si="6"/>
        <v>0</v>
      </c>
      <c r="N67" s="43">
        <f t="shared" si="7"/>
        <v>0</v>
      </c>
      <c r="O67" s="44">
        <f t="shared" si="8"/>
        <v>0</v>
      </c>
    </row>
    <row r="68" spans="1:15" ht="12.75">
      <c r="A68" s="159">
        <v>45736</v>
      </c>
      <c r="B68" s="35">
        <f>IF(DIAS365('CALCULADORA TIV V-1'!$E$6,A68)&lt;0,0,DIAS365('CALCULADORA TIV V-1'!$E$6,A68))</f>
        <v>789</v>
      </c>
      <c r="C68" s="36">
        <f>+HLOOKUP('CALCULADORA TIV V-1'!$E$4,Tablas!$B$1:$B$181,Flujos!J68+1,FALSE)</f>
        <v>0</v>
      </c>
      <c r="D68" s="76">
        <f t="shared" si="9"/>
        <v>0</v>
      </c>
      <c r="E68" s="37">
        <f aca="true" t="shared" si="11" ref="E68:E131">ROUND(C68*$D$2,6)</f>
        <v>0</v>
      </c>
      <c r="F68" s="37">
        <f>ROUND(D67*ROUND(((1+'CALCULADORA TIV V-1'!$C$14)^(1/12)-1),6),6)</f>
        <v>0</v>
      </c>
      <c r="G68" s="37">
        <f aca="true" t="shared" si="12" ref="G68:G131">F68+E68</f>
        <v>0</v>
      </c>
      <c r="H68" s="38">
        <f>IF($B68=0,0,G68/POWER(1+'CALCULADORA TIV V-1'!$F$11,Flujos!$B68/365))</f>
        <v>0</v>
      </c>
      <c r="I68" s="39">
        <f t="shared" si="10"/>
        <v>45736</v>
      </c>
      <c r="J68" s="40">
        <v>66</v>
      </c>
      <c r="K68" s="41">
        <f aca="true" t="shared" si="13" ref="K68:K131">+DIAS365($A$2,A68)</f>
        <v>2006</v>
      </c>
      <c r="L68" s="42">
        <f aca="true" t="shared" si="14" ref="L68:L131">IF(+(L67-M68)&lt;0,0,(L67-M68))</f>
        <v>0</v>
      </c>
      <c r="M68" s="43">
        <f aca="true" t="shared" si="15" ref="M68:M131">+$L$2*C68</f>
        <v>0</v>
      </c>
      <c r="N68" s="43">
        <f aca="true" t="shared" si="16" ref="N68:N131">+L67*$F$3%</f>
        <v>0</v>
      </c>
      <c r="O68" s="44">
        <f aca="true" t="shared" si="17" ref="O68:O131">+N68+M68</f>
        <v>0</v>
      </c>
    </row>
    <row r="69" spans="1:15" ht="12.75">
      <c r="A69" s="159">
        <v>45767</v>
      </c>
      <c r="B69" s="35">
        <f>IF(DIAS365('CALCULADORA TIV V-1'!$E$6,A69)&lt;0,0,DIAS365('CALCULADORA TIV V-1'!$E$6,A69))</f>
        <v>820</v>
      </c>
      <c r="C69" s="36">
        <f>+HLOOKUP('CALCULADORA TIV V-1'!$E$4,Tablas!$B$1:$B$181,Flujos!J69+1,FALSE)</f>
        <v>0</v>
      </c>
      <c r="D69" s="76">
        <f t="shared" si="9"/>
        <v>0</v>
      </c>
      <c r="E69" s="37">
        <f t="shared" si="11"/>
        <v>0</v>
      </c>
      <c r="F69" s="37">
        <f>ROUND(D68*ROUND(((1+'CALCULADORA TIV V-1'!$C$14)^(1/12)-1),6),6)</f>
        <v>0</v>
      </c>
      <c r="G69" s="37">
        <f t="shared" si="12"/>
        <v>0</v>
      </c>
      <c r="H69" s="38">
        <f>IF($B69=0,0,G69/POWER(1+'CALCULADORA TIV V-1'!$F$11,Flujos!$B69/365))</f>
        <v>0</v>
      </c>
      <c r="I69" s="39">
        <f t="shared" si="10"/>
        <v>45767</v>
      </c>
      <c r="J69" s="40">
        <v>67</v>
      </c>
      <c r="K69" s="41">
        <f t="shared" si="13"/>
        <v>2037</v>
      </c>
      <c r="L69" s="42">
        <f t="shared" si="14"/>
        <v>0</v>
      </c>
      <c r="M69" s="43">
        <f t="shared" si="15"/>
        <v>0</v>
      </c>
      <c r="N69" s="43">
        <f t="shared" si="16"/>
        <v>0</v>
      </c>
      <c r="O69" s="44">
        <f t="shared" si="17"/>
        <v>0</v>
      </c>
    </row>
    <row r="70" spans="1:15" ht="12.75">
      <c r="A70" s="159">
        <v>45797</v>
      </c>
      <c r="B70" s="35">
        <f>IF(DIAS365('CALCULADORA TIV V-1'!$E$6,A70)&lt;0,0,DIAS365('CALCULADORA TIV V-1'!$E$6,A70))</f>
        <v>850</v>
      </c>
      <c r="C70" s="36">
        <f>+HLOOKUP('CALCULADORA TIV V-1'!$E$4,Tablas!$B$1:$B$181,Flujos!J70+1,FALSE)</f>
        <v>0</v>
      </c>
      <c r="D70" s="76">
        <f t="shared" si="9"/>
        <v>0</v>
      </c>
      <c r="E70" s="37">
        <f t="shared" si="11"/>
        <v>0</v>
      </c>
      <c r="F70" s="37">
        <f>ROUND(D69*ROUND(((1+'CALCULADORA TIV V-1'!$C$14)^(1/12)-1),6),6)</f>
        <v>0</v>
      </c>
      <c r="G70" s="37">
        <f t="shared" si="12"/>
        <v>0</v>
      </c>
      <c r="H70" s="38">
        <f>IF($B70=0,0,G70/POWER(1+'CALCULADORA TIV V-1'!$F$11,Flujos!$B70/365))</f>
        <v>0</v>
      </c>
      <c r="I70" s="39">
        <f t="shared" si="10"/>
        <v>45797</v>
      </c>
      <c r="J70" s="40">
        <v>68</v>
      </c>
      <c r="K70" s="41">
        <f t="shared" si="13"/>
        <v>2067</v>
      </c>
      <c r="L70" s="42">
        <f t="shared" si="14"/>
        <v>0</v>
      </c>
      <c r="M70" s="43">
        <f t="shared" si="15"/>
        <v>0</v>
      </c>
      <c r="N70" s="43">
        <f t="shared" si="16"/>
        <v>0</v>
      </c>
      <c r="O70" s="44">
        <f t="shared" si="17"/>
        <v>0</v>
      </c>
    </row>
    <row r="71" spans="1:15" ht="12.75">
      <c r="A71" s="159">
        <v>45828</v>
      </c>
      <c r="B71" s="35">
        <f>IF(DIAS365('CALCULADORA TIV V-1'!$E$6,A71)&lt;0,0,DIAS365('CALCULADORA TIV V-1'!$E$6,A71))</f>
        <v>881</v>
      </c>
      <c r="C71" s="36">
        <f>+HLOOKUP('CALCULADORA TIV V-1'!$E$4,Tablas!$B$1:$B$181,Flujos!J71+1,FALSE)</f>
        <v>0</v>
      </c>
      <c r="D71" s="76">
        <f t="shared" si="9"/>
        <v>0</v>
      </c>
      <c r="E71" s="37">
        <f t="shared" si="11"/>
        <v>0</v>
      </c>
      <c r="F71" s="37">
        <f>ROUND(D70*ROUND(((1+'CALCULADORA TIV V-1'!$C$14)^(1/12)-1),6),6)</f>
        <v>0</v>
      </c>
      <c r="G71" s="37">
        <f t="shared" si="12"/>
        <v>0</v>
      </c>
      <c r="H71" s="38">
        <f>IF($B71=0,0,G71/POWER(1+'CALCULADORA TIV V-1'!$F$11,Flujos!$B71/365))</f>
        <v>0</v>
      </c>
      <c r="I71" s="39">
        <f t="shared" si="10"/>
        <v>45828</v>
      </c>
      <c r="J71" s="40">
        <v>69</v>
      </c>
      <c r="K71" s="41">
        <f t="shared" si="13"/>
        <v>2098</v>
      </c>
      <c r="L71" s="42">
        <f t="shared" si="14"/>
        <v>0</v>
      </c>
      <c r="M71" s="43">
        <f t="shared" si="15"/>
        <v>0</v>
      </c>
      <c r="N71" s="43">
        <f t="shared" si="16"/>
        <v>0</v>
      </c>
      <c r="O71" s="44">
        <f t="shared" si="17"/>
        <v>0</v>
      </c>
    </row>
    <row r="72" spans="1:15" ht="12.75">
      <c r="A72" s="159">
        <v>45858</v>
      </c>
      <c r="B72" s="35">
        <f>IF(DIAS365('CALCULADORA TIV V-1'!$E$6,A72)&lt;0,0,DIAS365('CALCULADORA TIV V-1'!$E$6,A72))</f>
        <v>911</v>
      </c>
      <c r="C72" s="36">
        <f>+HLOOKUP('CALCULADORA TIV V-1'!$E$4,Tablas!$B$1:$B$181,Flujos!J72+1,FALSE)</f>
        <v>0</v>
      </c>
      <c r="D72" s="76">
        <f t="shared" si="9"/>
        <v>0</v>
      </c>
      <c r="E72" s="37">
        <f t="shared" si="11"/>
        <v>0</v>
      </c>
      <c r="F72" s="37">
        <f>ROUND(D71*ROUND(((1+'CALCULADORA TIV V-1'!$C$14)^(1/12)-1),6),6)</f>
        <v>0</v>
      </c>
      <c r="G72" s="37">
        <f t="shared" si="12"/>
        <v>0</v>
      </c>
      <c r="H72" s="38">
        <f>IF($B72=0,0,G72/POWER(1+'CALCULADORA TIV V-1'!$F$11,Flujos!$B72/365))</f>
        <v>0</v>
      </c>
      <c r="I72" s="39">
        <f t="shared" si="10"/>
        <v>45858</v>
      </c>
      <c r="J72" s="40">
        <v>70</v>
      </c>
      <c r="K72" s="41">
        <f t="shared" si="13"/>
        <v>2128</v>
      </c>
      <c r="L72" s="42">
        <f t="shared" si="14"/>
        <v>0</v>
      </c>
      <c r="M72" s="43">
        <f t="shared" si="15"/>
        <v>0</v>
      </c>
      <c r="N72" s="43">
        <f t="shared" si="16"/>
        <v>0</v>
      </c>
      <c r="O72" s="44">
        <f t="shared" si="17"/>
        <v>0</v>
      </c>
    </row>
    <row r="73" spans="1:15" ht="12.75">
      <c r="A73" s="159">
        <v>45889</v>
      </c>
      <c r="B73" s="35">
        <f>IF(DIAS365('CALCULADORA TIV V-1'!$E$6,A73)&lt;0,0,DIAS365('CALCULADORA TIV V-1'!$E$6,A73))</f>
        <v>942</v>
      </c>
      <c r="C73" s="36">
        <f>+HLOOKUP('CALCULADORA TIV V-1'!$E$4,Tablas!$B$1:$B$181,Flujos!J73+1,FALSE)</f>
        <v>0</v>
      </c>
      <c r="D73" s="76">
        <f t="shared" si="9"/>
        <v>0</v>
      </c>
      <c r="E73" s="37">
        <f t="shared" si="11"/>
        <v>0</v>
      </c>
      <c r="F73" s="37">
        <f>ROUND(D72*ROUND(((1+'CALCULADORA TIV V-1'!$C$14)^(1/12)-1),6),6)</f>
        <v>0</v>
      </c>
      <c r="G73" s="37">
        <f t="shared" si="12"/>
        <v>0</v>
      </c>
      <c r="H73" s="38">
        <f>IF($B73=0,0,G73/POWER(1+'CALCULADORA TIV V-1'!$F$11,Flujos!$B73/365))</f>
        <v>0</v>
      </c>
      <c r="I73" s="39">
        <f t="shared" si="10"/>
        <v>45889</v>
      </c>
      <c r="J73" s="40">
        <v>71</v>
      </c>
      <c r="K73" s="41">
        <f t="shared" si="13"/>
        <v>2159</v>
      </c>
      <c r="L73" s="42">
        <f t="shared" si="14"/>
        <v>0</v>
      </c>
      <c r="M73" s="43">
        <f t="shared" si="15"/>
        <v>0</v>
      </c>
      <c r="N73" s="43">
        <f t="shared" si="16"/>
        <v>0</v>
      </c>
      <c r="O73" s="44">
        <f t="shared" si="17"/>
        <v>0</v>
      </c>
    </row>
    <row r="74" spans="1:15" ht="12.75">
      <c r="A74" s="159">
        <v>45920</v>
      </c>
      <c r="B74" s="35">
        <f>IF(DIAS365('CALCULADORA TIV V-1'!$E$6,A74)&lt;0,0,DIAS365('CALCULADORA TIV V-1'!$E$6,A74))</f>
        <v>973</v>
      </c>
      <c r="C74" s="36">
        <f>+HLOOKUP('CALCULADORA TIV V-1'!$E$4,Tablas!$B$1:$B$181,Flujos!J74+1,FALSE)</f>
        <v>0</v>
      </c>
      <c r="D74" s="76">
        <f t="shared" si="9"/>
        <v>0</v>
      </c>
      <c r="E74" s="37">
        <f t="shared" si="11"/>
        <v>0</v>
      </c>
      <c r="F74" s="37">
        <f>ROUND(D73*ROUND(((1+'CALCULADORA TIV V-1'!$C$14)^(1/12)-1),6),6)</f>
        <v>0</v>
      </c>
      <c r="G74" s="37">
        <f t="shared" si="12"/>
        <v>0</v>
      </c>
      <c r="H74" s="38">
        <f>IF($B74=0,0,G74/POWER(1+'CALCULADORA TIV V-1'!$F$11,Flujos!$B74/365))</f>
        <v>0</v>
      </c>
      <c r="I74" s="39">
        <f t="shared" si="10"/>
        <v>45920</v>
      </c>
      <c r="J74" s="40">
        <v>72</v>
      </c>
      <c r="K74" s="41">
        <f t="shared" si="13"/>
        <v>2190</v>
      </c>
      <c r="L74" s="42">
        <f t="shared" si="14"/>
        <v>0</v>
      </c>
      <c r="M74" s="43">
        <f t="shared" si="15"/>
        <v>0</v>
      </c>
      <c r="N74" s="43">
        <f t="shared" si="16"/>
        <v>0</v>
      </c>
      <c r="O74" s="44">
        <f t="shared" si="17"/>
        <v>0</v>
      </c>
    </row>
    <row r="75" spans="1:15" ht="12.75">
      <c r="A75" s="159">
        <v>45950</v>
      </c>
      <c r="B75" s="35">
        <f>IF(DIAS365('CALCULADORA TIV V-1'!$E$6,A75)&lt;0,0,DIAS365('CALCULADORA TIV V-1'!$E$6,A75))</f>
        <v>1003</v>
      </c>
      <c r="C75" s="36">
        <f>+HLOOKUP('CALCULADORA TIV V-1'!$E$4,Tablas!$B$1:$B$181,Flujos!J75+1,FALSE)</f>
        <v>0</v>
      </c>
      <c r="D75" s="76">
        <f t="shared" si="9"/>
        <v>0</v>
      </c>
      <c r="E75" s="37">
        <f t="shared" si="11"/>
        <v>0</v>
      </c>
      <c r="F75" s="37">
        <f>ROUND(D74*ROUND(((1+'CALCULADORA TIV V-1'!$C$14)^(1/12)-1),6),6)</f>
        <v>0</v>
      </c>
      <c r="G75" s="37">
        <f t="shared" si="12"/>
        <v>0</v>
      </c>
      <c r="H75" s="38">
        <f>IF($B75=0,0,G75/POWER(1+'CALCULADORA TIV V-1'!$F$11,Flujos!$B75/365))</f>
        <v>0</v>
      </c>
      <c r="I75" s="39">
        <f t="shared" si="10"/>
        <v>45950</v>
      </c>
      <c r="J75" s="40">
        <v>73</v>
      </c>
      <c r="K75" s="41">
        <f t="shared" si="13"/>
        <v>2220</v>
      </c>
      <c r="L75" s="42">
        <f t="shared" si="14"/>
        <v>0</v>
      </c>
      <c r="M75" s="43">
        <f t="shared" si="15"/>
        <v>0</v>
      </c>
      <c r="N75" s="43">
        <f t="shared" si="16"/>
        <v>0</v>
      </c>
      <c r="O75" s="44">
        <f t="shared" si="17"/>
        <v>0</v>
      </c>
    </row>
    <row r="76" spans="1:15" ht="12.75">
      <c r="A76" s="159">
        <v>45981</v>
      </c>
      <c r="B76" s="35">
        <f>IF(DIAS365('CALCULADORA TIV V-1'!$E$6,A76)&lt;0,0,DIAS365('CALCULADORA TIV V-1'!$E$6,A76))</f>
        <v>1034</v>
      </c>
      <c r="C76" s="36">
        <f>+HLOOKUP('CALCULADORA TIV V-1'!$E$4,Tablas!$B$1:$B$181,Flujos!J76+1,FALSE)</f>
        <v>0</v>
      </c>
      <c r="D76" s="76">
        <f t="shared" si="9"/>
        <v>0</v>
      </c>
      <c r="E76" s="37">
        <f t="shared" si="11"/>
        <v>0</v>
      </c>
      <c r="F76" s="37">
        <f>ROUND(D75*ROUND(((1+'CALCULADORA TIV V-1'!$C$14)^(1/12)-1),6),6)</f>
        <v>0</v>
      </c>
      <c r="G76" s="37">
        <f t="shared" si="12"/>
        <v>0</v>
      </c>
      <c r="H76" s="38">
        <f>IF($B76=0,0,G76/POWER(1+'CALCULADORA TIV V-1'!$F$11,Flujos!$B76/365))</f>
        <v>0</v>
      </c>
      <c r="I76" s="39">
        <f t="shared" si="10"/>
        <v>45981</v>
      </c>
      <c r="J76" s="40">
        <v>74</v>
      </c>
      <c r="K76" s="41">
        <f t="shared" si="13"/>
        <v>2251</v>
      </c>
      <c r="L76" s="42">
        <f t="shared" si="14"/>
        <v>0</v>
      </c>
      <c r="M76" s="43">
        <f t="shared" si="15"/>
        <v>0</v>
      </c>
      <c r="N76" s="43">
        <f t="shared" si="16"/>
        <v>0</v>
      </c>
      <c r="O76" s="44">
        <f t="shared" si="17"/>
        <v>0</v>
      </c>
    </row>
    <row r="77" spans="1:15" ht="12.75">
      <c r="A77" s="159">
        <v>46011</v>
      </c>
      <c r="B77" s="35">
        <f>IF(DIAS365('CALCULADORA TIV V-1'!$E$6,A77)&lt;0,0,DIAS365('CALCULADORA TIV V-1'!$E$6,A77))</f>
        <v>1064</v>
      </c>
      <c r="C77" s="36">
        <f>+HLOOKUP('CALCULADORA TIV V-1'!$E$4,Tablas!$B$1:$B$181,Flujos!J77+1,FALSE)</f>
        <v>0</v>
      </c>
      <c r="D77" s="76">
        <f t="shared" si="9"/>
        <v>0</v>
      </c>
      <c r="E77" s="37">
        <f t="shared" si="11"/>
        <v>0</v>
      </c>
      <c r="F77" s="37">
        <f>ROUND(D76*ROUND(((1+'CALCULADORA TIV V-1'!$C$14)^(1/12)-1),6),6)</f>
        <v>0</v>
      </c>
      <c r="G77" s="37">
        <f t="shared" si="12"/>
        <v>0</v>
      </c>
      <c r="H77" s="38">
        <f>IF($B77=0,0,G77/POWER(1+'CALCULADORA TIV V-1'!$F$11,Flujos!$B77/365))</f>
        <v>0</v>
      </c>
      <c r="I77" s="39">
        <f t="shared" si="10"/>
        <v>46011</v>
      </c>
      <c r="J77" s="40">
        <v>75</v>
      </c>
      <c r="K77" s="41">
        <f t="shared" si="13"/>
        <v>2281</v>
      </c>
      <c r="L77" s="42">
        <f t="shared" si="14"/>
        <v>0</v>
      </c>
      <c r="M77" s="43">
        <f t="shared" si="15"/>
        <v>0</v>
      </c>
      <c r="N77" s="43">
        <f t="shared" si="16"/>
        <v>0</v>
      </c>
      <c r="O77" s="44">
        <f t="shared" si="17"/>
        <v>0</v>
      </c>
    </row>
    <row r="78" spans="1:15" ht="12.75">
      <c r="A78" s="159">
        <v>46042</v>
      </c>
      <c r="B78" s="35">
        <f>IF(DIAS365('CALCULADORA TIV V-1'!$E$6,A78)&lt;0,0,DIAS365('CALCULADORA TIV V-1'!$E$6,A78))</f>
        <v>1095</v>
      </c>
      <c r="C78" s="36">
        <f>+HLOOKUP('CALCULADORA TIV V-1'!$E$4,Tablas!$B$1:$B$181,Flujos!J78+1,FALSE)</f>
        <v>0</v>
      </c>
      <c r="D78" s="76">
        <f t="shared" si="9"/>
        <v>0</v>
      </c>
      <c r="E78" s="37">
        <f t="shared" si="11"/>
        <v>0</v>
      </c>
      <c r="F78" s="37">
        <f>ROUND(D77*ROUND(((1+'CALCULADORA TIV V-1'!$C$14)^(1/12)-1),6),6)</f>
        <v>0</v>
      </c>
      <c r="G78" s="37">
        <f t="shared" si="12"/>
        <v>0</v>
      </c>
      <c r="H78" s="38">
        <f>IF($B78=0,0,G78/POWER(1+'CALCULADORA TIV V-1'!$F$11,Flujos!$B78/365))</f>
        <v>0</v>
      </c>
      <c r="I78" s="39">
        <f t="shared" si="10"/>
        <v>46042</v>
      </c>
      <c r="J78" s="40">
        <v>76</v>
      </c>
      <c r="K78" s="41">
        <f t="shared" si="13"/>
        <v>2312</v>
      </c>
      <c r="L78" s="42">
        <f t="shared" si="14"/>
        <v>0</v>
      </c>
      <c r="M78" s="43">
        <f t="shared" si="15"/>
        <v>0</v>
      </c>
      <c r="N78" s="43">
        <f t="shared" si="16"/>
        <v>0</v>
      </c>
      <c r="O78" s="44">
        <f t="shared" si="17"/>
        <v>0</v>
      </c>
    </row>
    <row r="79" spans="1:15" ht="12.75">
      <c r="A79" s="159">
        <v>46073</v>
      </c>
      <c r="B79" s="35">
        <f>IF(DIAS365('CALCULADORA TIV V-1'!$E$6,A79)&lt;0,0,DIAS365('CALCULADORA TIV V-1'!$E$6,A79))</f>
        <v>1126</v>
      </c>
      <c r="C79" s="36">
        <f>+HLOOKUP('CALCULADORA TIV V-1'!$E$4,Tablas!$B$1:$B$181,Flujos!J79+1,FALSE)</f>
        <v>0</v>
      </c>
      <c r="D79" s="76">
        <f t="shared" si="9"/>
        <v>0</v>
      </c>
      <c r="E79" s="37">
        <f t="shared" si="11"/>
        <v>0</v>
      </c>
      <c r="F79" s="37">
        <f>ROUND(D78*ROUND(((1+'CALCULADORA TIV V-1'!$C$14)^(1/12)-1),6),6)</f>
        <v>0</v>
      </c>
      <c r="G79" s="37">
        <f t="shared" si="12"/>
        <v>0</v>
      </c>
      <c r="H79" s="38">
        <f>IF($B79=0,0,G79/POWER(1+'CALCULADORA TIV V-1'!$F$11,Flujos!$B79/365))</f>
        <v>0</v>
      </c>
      <c r="I79" s="39">
        <f t="shared" si="10"/>
        <v>46073</v>
      </c>
      <c r="J79" s="40">
        <v>77</v>
      </c>
      <c r="K79" s="41">
        <f t="shared" si="13"/>
        <v>2343</v>
      </c>
      <c r="L79" s="42">
        <f t="shared" si="14"/>
        <v>0</v>
      </c>
      <c r="M79" s="43">
        <f t="shared" si="15"/>
        <v>0</v>
      </c>
      <c r="N79" s="43">
        <f t="shared" si="16"/>
        <v>0</v>
      </c>
      <c r="O79" s="44">
        <f t="shared" si="17"/>
        <v>0</v>
      </c>
    </row>
    <row r="80" spans="1:15" ht="12.75">
      <c r="A80" s="159">
        <v>46101</v>
      </c>
      <c r="B80" s="35">
        <f>IF(DIAS365('CALCULADORA TIV V-1'!$E$6,A80)&lt;0,0,DIAS365('CALCULADORA TIV V-1'!$E$6,A80))</f>
        <v>1154</v>
      </c>
      <c r="C80" s="36">
        <f>+HLOOKUP('CALCULADORA TIV V-1'!$E$4,Tablas!$B$1:$B$181,Flujos!J80+1,FALSE)</f>
        <v>0</v>
      </c>
      <c r="D80" s="76">
        <f t="shared" si="9"/>
        <v>0</v>
      </c>
      <c r="E80" s="37">
        <f t="shared" si="11"/>
        <v>0</v>
      </c>
      <c r="F80" s="37">
        <f>ROUND(D79*ROUND(((1+'CALCULADORA TIV V-1'!$C$14)^(1/12)-1),6),6)</f>
        <v>0</v>
      </c>
      <c r="G80" s="37">
        <f t="shared" si="12"/>
        <v>0</v>
      </c>
      <c r="H80" s="38">
        <f>IF($B80=0,0,G80/POWER(1+'CALCULADORA TIV V-1'!$F$11,Flujos!$B80/365))</f>
        <v>0</v>
      </c>
      <c r="I80" s="39">
        <f t="shared" si="10"/>
        <v>46101</v>
      </c>
      <c r="J80" s="40">
        <v>78</v>
      </c>
      <c r="K80" s="41">
        <f t="shared" si="13"/>
        <v>2371</v>
      </c>
      <c r="L80" s="42">
        <f t="shared" si="14"/>
        <v>0</v>
      </c>
      <c r="M80" s="43">
        <f t="shared" si="15"/>
        <v>0</v>
      </c>
      <c r="N80" s="43">
        <f t="shared" si="16"/>
        <v>0</v>
      </c>
      <c r="O80" s="44">
        <f t="shared" si="17"/>
        <v>0</v>
      </c>
    </row>
    <row r="81" spans="1:15" ht="12.75">
      <c r="A81" s="159">
        <v>46132</v>
      </c>
      <c r="B81" s="35">
        <f>IF(DIAS365('CALCULADORA TIV V-1'!$E$6,A81)&lt;0,0,DIAS365('CALCULADORA TIV V-1'!$E$6,A81))</f>
        <v>1185</v>
      </c>
      <c r="C81" s="36">
        <f>+HLOOKUP('CALCULADORA TIV V-1'!$E$4,Tablas!$B$1:$B$181,Flujos!J81+1,FALSE)</f>
        <v>0</v>
      </c>
      <c r="D81" s="76">
        <f t="shared" si="9"/>
        <v>0</v>
      </c>
      <c r="E81" s="37">
        <f t="shared" si="11"/>
        <v>0</v>
      </c>
      <c r="F81" s="37">
        <f>ROUND(D80*ROUND(((1+'CALCULADORA TIV V-1'!$C$14)^(1/12)-1),6),6)</f>
        <v>0</v>
      </c>
      <c r="G81" s="37">
        <f t="shared" si="12"/>
        <v>0</v>
      </c>
      <c r="H81" s="38">
        <f>IF($B81=0,0,G81/POWER(1+'CALCULADORA TIV V-1'!$F$11,Flujos!$B81/365))</f>
        <v>0</v>
      </c>
      <c r="I81" s="39">
        <f t="shared" si="10"/>
        <v>46132</v>
      </c>
      <c r="J81" s="40">
        <v>79</v>
      </c>
      <c r="K81" s="41">
        <f t="shared" si="13"/>
        <v>2402</v>
      </c>
      <c r="L81" s="42">
        <f t="shared" si="14"/>
        <v>0</v>
      </c>
      <c r="M81" s="43">
        <f t="shared" si="15"/>
        <v>0</v>
      </c>
      <c r="N81" s="43">
        <f t="shared" si="16"/>
        <v>0</v>
      </c>
      <c r="O81" s="44">
        <f t="shared" si="17"/>
        <v>0</v>
      </c>
    </row>
    <row r="82" spans="1:15" ht="12.75">
      <c r="A82" s="159">
        <v>46162</v>
      </c>
      <c r="B82" s="35">
        <f>IF(DIAS365('CALCULADORA TIV V-1'!$E$6,A82)&lt;0,0,DIAS365('CALCULADORA TIV V-1'!$E$6,A82))</f>
        <v>1215</v>
      </c>
      <c r="C82" s="36">
        <f>+HLOOKUP('CALCULADORA TIV V-1'!$E$4,Tablas!$B$1:$B$181,Flujos!J82+1,FALSE)</f>
        <v>0</v>
      </c>
      <c r="D82" s="76">
        <f t="shared" si="9"/>
        <v>0</v>
      </c>
      <c r="E82" s="37">
        <f t="shared" si="11"/>
        <v>0</v>
      </c>
      <c r="F82" s="37">
        <f>ROUND(D81*ROUND(((1+'CALCULADORA TIV V-1'!$C$14)^(1/12)-1),6),6)</f>
        <v>0</v>
      </c>
      <c r="G82" s="37">
        <f t="shared" si="12"/>
        <v>0</v>
      </c>
      <c r="H82" s="38">
        <f>IF($B82=0,0,G82/POWER(1+'CALCULADORA TIV V-1'!$F$11,Flujos!$B82/365))</f>
        <v>0</v>
      </c>
      <c r="I82" s="39">
        <f t="shared" si="10"/>
        <v>46162</v>
      </c>
      <c r="J82" s="40">
        <v>80</v>
      </c>
      <c r="K82" s="41">
        <f t="shared" si="13"/>
        <v>2432</v>
      </c>
      <c r="L82" s="42">
        <f t="shared" si="14"/>
        <v>0</v>
      </c>
      <c r="M82" s="43">
        <f t="shared" si="15"/>
        <v>0</v>
      </c>
      <c r="N82" s="43">
        <f t="shared" si="16"/>
        <v>0</v>
      </c>
      <c r="O82" s="44">
        <f t="shared" si="17"/>
        <v>0</v>
      </c>
    </row>
    <row r="83" spans="1:15" ht="12.75">
      <c r="A83" s="159">
        <v>46193</v>
      </c>
      <c r="B83" s="35">
        <f>IF(DIAS365('CALCULADORA TIV V-1'!$E$6,A83)&lt;0,0,DIAS365('CALCULADORA TIV V-1'!$E$6,A83))</f>
        <v>1246</v>
      </c>
      <c r="C83" s="36">
        <f>+HLOOKUP('CALCULADORA TIV V-1'!$E$4,Tablas!$B$1:$B$181,Flujos!J83+1,FALSE)</f>
        <v>0</v>
      </c>
      <c r="D83" s="76">
        <f t="shared" si="9"/>
        <v>0</v>
      </c>
      <c r="E83" s="37">
        <f t="shared" si="11"/>
        <v>0</v>
      </c>
      <c r="F83" s="37">
        <f>ROUND(D82*ROUND(((1+'CALCULADORA TIV V-1'!$C$14)^(1/12)-1),6),6)</f>
        <v>0</v>
      </c>
      <c r="G83" s="37">
        <f t="shared" si="12"/>
        <v>0</v>
      </c>
      <c r="H83" s="38">
        <f>IF($B83=0,0,G83/POWER(1+'CALCULADORA TIV V-1'!$F$11,Flujos!$B83/365))</f>
        <v>0</v>
      </c>
      <c r="I83" s="39">
        <f t="shared" si="10"/>
        <v>46193</v>
      </c>
      <c r="J83" s="40">
        <v>81</v>
      </c>
      <c r="K83" s="41">
        <f t="shared" si="13"/>
        <v>2463</v>
      </c>
      <c r="L83" s="42">
        <f t="shared" si="14"/>
        <v>0</v>
      </c>
      <c r="M83" s="43">
        <f t="shared" si="15"/>
        <v>0</v>
      </c>
      <c r="N83" s="43">
        <f t="shared" si="16"/>
        <v>0</v>
      </c>
      <c r="O83" s="44">
        <f t="shared" si="17"/>
        <v>0</v>
      </c>
    </row>
    <row r="84" spans="1:15" ht="12.75">
      <c r="A84" s="159">
        <v>46223</v>
      </c>
      <c r="B84" s="35">
        <f>IF(DIAS365('CALCULADORA TIV V-1'!$E$6,A84)&lt;0,0,DIAS365('CALCULADORA TIV V-1'!$E$6,A84))</f>
        <v>1276</v>
      </c>
      <c r="C84" s="36">
        <f>+HLOOKUP('CALCULADORA TIV V-1'!$E$4,Tablas!$B$1:$B$181,Flujos!J84+1,FALSE)</f>
        <v>0</v>
      </c>
      <c r="D84" s="76">
        <f t="shared" si="9"/>
        <v>0</v>
      </c>
      <c r="E84" s="37">
        <f t="shared" si="11"/>
        <v>0</v>
      </c>
      <c r="F84" s="37">
        <f>ROUND(D83*ROUND(((1+'CALCULADORA TIV V-1'!$C$14)^(1/12)-1),6),6)</f>
        <v>0</v>
      </c>
      <c r="G84" s="37">
        <f t="shared" si="12"/>
        <v>0</v>
      </c>
      <c r="H84" s="38">
        <f>IF($B84=0,0,G84/POWER(1+'CALCULADORA TIV V-1'!$F$11,Flujos!$B84/365))</f>
        <v>0</v>
      </c>
      <c r="I84" s="39">
        <f t="shared" si="10"/>
        <v>46223</v>
      </c>
      <c r="J84" s="40">
        <v>82</v>
      </c>
      <c r="K84" s="41">
        <f t="shared" si="13"/>
        <v>2493</v>
      </c>
      <c r="L84" s="42">
        <f t="shared" si="14"/>
        <v>0</v>
      </c>
      <c r="M84" s="43">
        <f t="shared" si="15"/>
        <v>0</v>
      </c>
      <c r="N84" s="43">
        <f t="shared" si="16"/>
        <v>0</v>
      </c>
      <c r="O84" s="44">
        <f t="shared" si="17"/>
        <v>0</v>
      </c>
    </row>
    <row r="85" spans="1:15" ht="12.75">
      <c r="A85" s="159">
        <v>46254</v>
      </c>
      <c r="B85" s="35">
        <f>IF(DIAS365('CALCULADORA TIV V-1'!$E$6,A85)&lt;0,0,DIAS365('CALCULADORA TIV V-1'!$E$6,A85))</f>
        <v>1307</v>
      </c>
      <c r="C85" s="36">
        <f>+HLOOKUP('CALCULADORA TIV V-1'!$E$4,Tablas!$B$1:$B$181,Flujos!J85+1,FALSE)</f>
        <v>0</v>
      </c>
      <c r="D85" s="76">
        <f t="shared" si="9"/>
        <v>0</v>
      </c>
      <c r="E85" s="37">
        <f t="shared" si="11"/>
        <v>0</v>
      </c>
      <c r="F85" s="37">
        <f>ROUND(D84*ROUND(((1+'CALCULADORA TIV V-1'!$C$14)^(1/12)-1),6),6)</f>
        <v>0</v>
      </c>
      <c r="G85" s="37">
        <f t="shared" si="12"/>
        <v>0</v>
      </c>
      <c r="H85" s="38">
        <f>IF($B85=0,0,G85/POWER(1+'CALCULADORA TIV V-1'!$F$11,Flujos!$B85/365))</f>
        <v>0</v>
      </c>
      <c r="I85" s="39">
        <f t="shared" si="10"/>
        <v>46254</v>
      </c>
      <c r="J85" s="40">
        <v>83</v>
      </c>
      <c r="K85" s="41">
        <f t="shared" si="13"/>
        <v>2524</v>
      </c>
      <c r="L85" s="42">
        <f t="shared" si="14"/>
        <v>0</v>
      </c>
      <c r="M85" s="43">
        <f t="shared" si="15"/>
        <v>0</v>
      </c>
      <c r="N85" s="43">
        <f t="shared" si="16"/>
        <v>0</v>
      </c>
      <c r="O85" s="44">
        <f t="shared" si="17"/>
        <v>0</v>
      </c>
    </row>
    <row r="86" spans="1:15" ht="12.75">
      <c r="A86" s="159">
        <v>46285</v>
      </c>
      <c r="B86" s="35">
        <f>IF(DIAS365('CALCULADORA TIV V-1'!$E$6,A86)&lt;0,0,DIAS365('CALCULADORA TIV V-1'!$E$6,A86))</f>
        <v>1338</v>
      </c>
      <c r="C86" s="36">
        <f>+HLOOKUP('CALCULADORA TIV V-1'!$E$4,Tablas!$B$1:$B$181,Flujos!J86+1,FALSE)</f>
        <v>0</v>
      </c>
      <c r="D86" s="76">
        <f t="shared" si="9"/>
        <v>0</v>
      </c>
      <c r="E86" s="37">
        <f t="shared" si="11"/>
        <v>0</v>
      </c>
      <c r="F86" s="37">
        <f>ROUND(D85*ROUND(((1+'CALCULADORA TIV V-1'!$C$14)^(1/12)-1),6),6)</f>
        <v>0</v>
      </c>
      <c r="G86" s="37">
        <f t="shared" si="12"/>
        <v>0</v>
      </c>
      <c r="H86" s="38">
        <f>IF($B86=0,0,G86/POWER(1+'CALCULADORA TIV V-1'!$F$11,Flujos!$B86/365))</f>
        <v>0</v>
      </c>
      <c r="I86" s="39">
        <f t="shared" si="10"/>
        <v>46285</v>
      </c>
      <c r="J86" s="40">
        <v>84</v>
      </c>
      <c r="K86" s="41">
        <f t="shared" si="13"/>
        <v>2555</v>
      </c>
      <c r="L86" s="42">
        <f t="shared" si="14"/>
        <v>0</v>
      </c>
      <c r="M86" s="43">
        <f t="shared" si="15"/>
        <v>0</v>
      </c>
      <c r="N86" s="43">
        <f t="shared" si="16"/>
        <v>0</v>
      </c>
      <c r="O86" s="44">
        <f t="shared" si="17"/>
        <v>0</v>
      </c>
    </row>
    <row r="87" spans="1:15" ht="12.75">
      <c r="A87" s="159">
        <v>46315</v>
      </c>
      <c r="B87" s="35">
        <f>IF(DIAS365('CALCULADORA TIV V-1'!$E$6,A87)&lt;0,0,DIAS365('CALCULADORA TIV V-1'!$E$6,A87))</f>
        <v>1368</v>
      </c>
      <c r="C87" s="36">
        <f>+HLOOKUP('CALCULADORA TIV V-1'!$E$4,Tablas!$B$1:$B$181,Flujos!J87+1,FALSE)</f>
        <v>0</v>
      </c>
      <c r="D87" s="76">
        <f t="shared" si="9"/>
        <v>0</v>
      </c>
      <c r="E87" s="37">
        <f t="shared" si="11"/>
        <v>0</v>
      </c>
      <c r="F87" s="37">
        <f>ROUND(D86*ROUND(((1+'CALCULADORA TIV V-1'!$C$14)^(1/12)-1),6),6)</f>
        <v>0</v>
      </c>
      <c r="G87" s="37">
        <f t="shared" si="12"/>
        <v>0</v>
      </c>
      <c r="H87" s="38">
        <f>IF($B87=0,0,G87/POWER(1+'CALCULADORA TIV V-1'!$F$11,Flujos!$B87/365))</f>
        <v>0</v>
      </c>
      <c r="I87" s="39">
        <f t="shared" si="10"/>
        <v>46315</v>
      </c>
      <c r="J87" s="40">
        <v>85</v>
      </c>
      <c r="K87" s="41">
        <f t="shared" si="13"/>
        <v>2585</v>
      </c>
      <c r="L87" s="42">
        <f t="shared" si="14"/>
        <v>0</v>
      </c>
      <c r="M87" s="43">
        <f t="shared" si="15"/>
        <v>0</v>
      </c>
      <c r="N87" s="43">
        <f t="shared" si="16"/>
        <v>0</v>
      </c>
      <c r="O87" s="44">
        <f t="shared" si="17"/>
        <v>0</v>
      </c>
    </row>
    <row r="88" spans="1:15" ht="12.75">
      <c r="A88" s="159">
        <v>46346</v>
      </c>
      <c r="B88" s="35">
        <f>IF(DIAS365('CALCULADORA TIV V-1'!$E$6,A88)&lt;0,0,DIAS365('CALCULADORA TIV V-1'!$E$6,A88))</f>
        <v>1399</v>
      </c>
      <c r="C88" s="36">
        <f>+HLOOKUP('CALCULADORA TIV V-1'!$E$4,Tablas!$B$1:$B$181,Flujos!J88+1,FALSE)</f>
        <v>0</v>
      </c>
      <c r="D88" s="76">
        <f t="shared" si="9"/>
        <v>0</v>
      </c>
      <c r="E88" s="37">
        <f t="shared" si="11"/>
        <v>0</v>
      </c>
      <c r="F88" s="37">
        <f>ROUND(D87*ROUND(((1+'CALCULADORA TIV V-1'!$C$14)^(1/12)-1),6),6)</f>
        <v>0</v>
      </c>
      <c r="G88" s="37">
        <f t="shared" si="12"/>
        <v>0</v>
      </c>
      <c r="H88" s="38">
        <f>IF($B88=0,0,G88/POWER(1+'CALCULADORA TIV V-1'!$F$11,Flujos!$B88/365))</f>
        <v>0</v>
      </c>
      <c r="I88" s="39">
        <f t="shared" si="10"/>
        <v>46346</v>
      </c>
      <c r="J88" s="40">
        <v>86</v>
      </c>
      <c r="K88" s="41">
        <f t="shared" si="13"/>
        <v>2616</v>
      </c>
      <c r="L88" s="42">
        <f t="shared" si="14"/>
        <v>0</v>
      </c>
      <c r="M88" s="43">
        <f t="shared" si="15"/>
        <v>0</v>
      </c>
      <c r="N88" s="43">
        <f t="shared" si="16"/>
        <v>0</v>
      </c>
      <c r="O88" s="44">
        <f t="shared" si="17"/>
        <v>0</v>
      </c>
    </row>
    <row r="89" spans="1:15" ht="12.75">
      <c r="A89" s="159">
        <v>46376</v>
      </c>
      <c r="B89" s="35">
        <f>IF(DIAS365('CALCULADORA TIV V-1'!$E$6,A89)&lt;0,0,DIAS365('CALCULADORA TIV V-1'!$E$6,A89))</f>
        <v>1429</v>
      </c>
      <c r="C89" s="36">
        <f>+HLOOKUP('CALCULADORA TIV V-1'!$E$4,Tablas!$B$1:$B$181,Flujos!J89+1,FALSE)</f>
        <v>0</v>
      </c>
      <c r="D89" s="76">
        <f t="shared" si="9"/>
        <v>0</v>
      </c>
      <c r="E89" s="37">
        <f t="shared" si="11"/>
        <v>0</v>
      </c>
      <c r="F89" s="37">
        <f>ROUND(D88*ROUND(((1+'CALCULADORA TIV V-1'!$C$14)^(1/12)-1),6),6)</f>
        <v>0</v>
      </c>
      <c r="G89" s="37">
        <f t="shared" si="12"/>
        <v>0</v>
      </c>
      <c r="H89" s="38">
        <f>IF($B89=0,0,G89/POWER(1+'CALCULADORA TIV V-1'!$F$11,Flujos!$B89/365))</f>
        <v>0</v>
      </c>
      <c r="I89" s="39">
        <f t="shared" si="10"/>
        <v>46376</v>
      </c>
      <c r="J89" s="40">
        <v>87</v>
      </c>
      <c r="K89" s="41">
        <f t="shared" si="13"/>
        <v>2646</v>
      </c>
      <c r="L89" s="42">
        <f t="shared" si="14"/>
        <v>0</v>
      </c>
      <c r="M89" s="43">
        <f t="shared" si="15"/>
        <v>0</v>
      </c>
      <c r="N89" s="43">
        <f t="shared" si="16"/>
        <v>0</v>
      </c>
      <c r="O89" s="44">
        <f t="shared" si="17"/>
        <v>0</v>
      </c>
    </row>
    <row r="90" spans="1:15" ht="12.75">
      <c r="A90" s="159">
        <v>46407</v>
      </c>
      <c r="B90" s="35">
        <f>IF(DIAS365('CALCULADORA TIV V-1'!$E$6,A90)&lt;0,0,DIAS365('CALCULADORA TIV V-1'!$E$6,A90))</f>
        <v>1460</v>
      </c>
      <c r="C90" s="36">
        <f>+HLOOKUP('CALCULADORA TIV V-1'!$E$4,Tablas!$B$1:$B$181,Flujos!J90+1,FALSE)</f>
        <v>0</v>
      </c>
      <c r="D90" s="76">
        <f t="shared" si="9"/>
        <v>0</v>
      </c>
      <c r="E90" s="37">
        <f t="shared" si="11"/>
        <v>0</v>
      </c>
      <c r="F90" s="37">
        <f>ROUND(D89*ROUND(((1+'CALCULADORA TIV V-1'!$C$14)^(1/12)-1),6),6)</f>
        <v>0</v>
      </c>
      <c r="G90" s="37">
        <f t="shared" si="12"/>
        <v>0</v>
      </c>
      <c r="H90" s="38">
        <f>IF($B90=0,0,G90/POWER(1+'CALCULADORA TIV V-1'!$F$11,Flujos!$B90/365))</f>
        <v>0</v>
      </c>
      <c r="I90" s="39">
        <f t="shared" si="10"/>
        <v>46407</v>
      </c>
      <c r="J90" s="40">
        <v>88</v>
      </c>
      <c r="K90" s="41">
        <f t="shared" si="13"/>
        <v>2677</v>
      </c>
      <c r="L90" s="42">
        <f t="shared" si="14"/>
        <v>0</v>
      </c>
      <c r="M90" s="43">
        <f t="shared" si="15"/>
        <v>0</v>
      </c>
      <c r="N90" s="43">
        <f t="shared" si="16"/>
        <v>0</v>
      </c>
      <c r="O90" s="44">
        <f t="shared" si="17"/>
        <v>0</v>
      </c>
    </row>
    <row r="91" spans="1:15" ht="12.75">
      <c r="A91" s="159">
        <v>46438</v>
      </c>
      <c r="B91" s="35">
        <f>IF(DIAS365('CALCULADORA TIV V-1'!$E$6,A91)&lt;0,0,DIAS365('CALCULADORA TIV V-1'!$E$6,A91))</f>
        <v>1491</v>
      </c>
      <c r="C91" s="36">
        <f>+HLOOKUP('CALCULADORA TIV V-1'!$E$4,Tablas!$B$1:$B$181,Flujos!J91+1,FALSE)</f>
        <v>0</v>
      </c>
      <c r="D91" s="76">
        <f t="shared" si="9"/>
        <v>0</v>
      </c>
      <c r="E91" s="37">
        <f t="shared" si="11"/>
        <v>0</v>
      </c>
      <c r="F91" s="37">
        <f>ROUND(D90*ROUND(((1+'CALCULADORA TIV V-1'!$C$14)^(1/12)-1),6),6)</f>
        <v>0</v>
      </c>
      <c r="G91" s="37">
        <f t="shared" si="12"/>
        <v>0</v>
      </c>
      <c r="H91" s="38">
        <f>IF($B91=0,0,G91/POWER(1+'CALCULADORA TIV V-1'!$F$11,Flujos!$B91/365))</f>
        <v>0</v>
      </c>
      <c r="I91" s="39">
        <f t="shared" si="10"/>
        <v>46438</v>
      </c>
      <c r="J91" s="40">
        <v>89</v>
      </c>
      <c r="K91" s="41">
        <f t="shared" si="13"/>
        <v>2708</v>
      </c>
      <c r="L91" s="42">
        <f t="shared" si="14"/>
        <v>0</v>
      </c>
      <c r="M91" s="43">
        <f t="shared" si="15"/>
        <v>0</v>
      </c>
      <c r="N91" s="43">
        <f t="shared" si="16"/>
        <v>0</v>
      </c>
      <c r="O91" s="44">
        <f t="shared" si="17"/>
        <v>0</v>
      </c>
    </row>
    <row r="92" spans="1:15" ht="12.75">
      <c r="A92" s="159">
        <v>46466</v>
      </c>
      <c r="B92" s="35">
        <f>IF(DIAS365('CALCULADORA TIV V-1'!$E$6,A92)&lt;0,0,DIAS365('CALCULADORA TIV V-1'!$E$6,A92))</f>
        <v>1519</v>
      </c>
      <c r="C92" s="36">
        <f>+HLOOKUP('CALCULADORA TIV V-1'!$E$4,Tablas!$B$1:$B$181,Flujos!J92+1,FALSE)</f>
        <v>0</v>
      </c>
      <c r="D92" s="76">
        <f t="shared" si="9"/>
        <v>0</v>
      </c>
      <c r="E92" s="37">
        <f t="shared" si="11"/>
        <v>0</v>
      </c>
      <c r="F92" s="37">
        <f>ROUND(D91*ROUND(((1+'CALCULADORA TIV V-1'!$C$14)^(1/12)-1),6),6)</f>
        <v>0</v>
      </c>
      <c r="G92" s="37">
        <f t="shared" si="12"/>
        <v>0</v>
      </c>
      <c r="H92" s="38">
        <f>IF($B92=0,0,G92/POWER(1+'CALCULADORA TIV V-1'!$F$11,Flujos!$B92/365))</f>
        <v>0</v>
      </c>
      <c r="I92" s="39">
        <f t="shared" si="10"/>
        <v>46466</v>
      </c>
      <c r="J92" s="40">
        <v>90</v>
      </c>
      <c r="K92" s="41">
        <f t="shared" si="13"/>
        <v>2736</v>
      </c>
      <c r="L92" s="42">
        <f t="shared" si="14"/>
        <v>0</v>
      </c>
      <c r="M92" s="43">
        <f t="shared" si="15"/>
        <v>0</v>
      </c>
      <c r="N92" s="43">
        <f t="shared" si="16"/>
        <v>0</v>
      </c>
      <c r="O92" s="44">
        <f t="shared" si="17"/>
        <v>0</v>
      </c>
    </row>
    <row r="93" spans="1:15" ht="12.75">
      <c r="A93" s="159">
        <v>46497</v>
      </c>
      <c r="B93" s="35">
        <f>IF(DIAS365('CALCULADORA TIV V-1'!$E$6,A93)&lt;0,0,DIAS365('CALCULADORA TIV V-1'!$E$6,A93))</f>
        <v>1550</v>
      </c>
      <c r="C93" s="36">
        <f>+HLOOKUP('CALCULADORA TIV V-1'!$E$4,Tablas!$B$1:$B$181,Flujos!J93+1,FALSE)</f>
        <v>0</v>
      </c>
      <c r="D93" s="76">
        <f t="shared" si="9"/>
        <v>0</v>
      </c>
      <c r="E93" s="37">
        <f t="shared" si="11"/>
        <v>0</v>
      </c>
      <c r="F93" s="37">
        <f>ROUND(D92*ROUND(((1+'CALCULADORA TIV V-1'!$C$14)^(1/12)-1),6),6)</f>
        <v>0</v>
      </c>
      <c r="G93" s="37">
        <f t="shared" si="12"/>
        <v>0</v>
      </c>
      <c r="H93" s="38">
        <f>IF($B93=0,0,G93/POWER(1+'CALCULADORA TIV V-1'!$F$11,Flujos!$B93/365))</f>
        <v>0</v>
      </c>
      <c r="I93" s="39">
        <f t="shared" si="10"/>
        <v>46497</v>
      </c>
      <c r="J93" s="40">
        <v>91</v>
      </c>
      <c r="K93" s="41">
        <f t="shared" si="13"/>
        <v>2767</v>
      </c>
      <c r="L93" s="42">
        <f t="shared" si="14"/>
        <v>0</v>
      </c>
      <c r="M93" s="43">
        <f t="shared" si="15"/>
        <v>0</v>
      </c>
      <c r="N93" s="43">
        <f t="shared" si="16"/>
        <v>0</v>
      </c>
      <c r="O93" s="44">
        <f t="shared" si="17"/>
        <v>0</v>
      </c>
    </row>
    <row r="94" spans="1:15" ht="12.75">
      <c r="A94" s="159">
        <v>46527</v>
      </c>
      <c r="B94" s="35">
        <f>IF(DIAS365('CALCULADORA TIV V-1'!$E$6,A94)&lt;0,0,DIAS365('CALCULADORA TIV V-1'!$E$6,A94))</f>
        <v>1580</v>
      </c>
      <c r="C94" s="36">
        <f>+HLOOKUP('CALCULADORA TIV V-1'!$E$4,Tablas!$B$1:$B$181,Flujos!J94+1,FALSE)</f>
        <v>0</v>
      </c>
      <c r="D94" s="76">
        <f t="shared" si="9"/>
        <v>0</v>
      </c>
      <c r="E94" s="37">
        <f t="shared" si="11"/>
        <v>0</v>
      </c>
      <c r="F94" s="37">
        <f>ROUND(D93*ROUND(((1+'CALCULADORA TIV V-1'!$C$14)^(1/12)-1),6),6)</f>
        <v>0</v>
      </c>
      <c r="G94" s="37">
        <f t="shared" si="12"/>
        <v>0</v>
      </c>
      <c r="H94" s="38">
        <f>IF($B94=0,0,G94/POWER(1+'CALCULADORA TIV V-1'!$F$11,Flujos!$B94/365))</f>
        <v>0</v>
      </c>
      <c r="I94" s="39">
        <f t="shared" si="10"/>
        <v>46527</v>
      </c>
      <c r="J94" s="40">
        <v>92</v>
      </c>
      <c r="K94" s="41">
        <f t="shared" si="13"/>
        <v>2797</v>
      </c>
      <c r="L94" s="42">
        <f t="shared" si="14"/>
        <v>0</v>
      </c>
      <c r="M94" s="43">
        <f t="shared" si="15"/>
        <v>0</v>
      </c>
      <c r="N94" s="43">
        <f t="shared" si="16"/>
        <v>0</v>
      </c>
      <c r="O94" s="44">
        <f t="shared" si="17"/>
        <v>0</v>
      </c>
    </row>
    <row r="95" spans="1:15" ht="12.75">
      <c r="A95" s="159">
        <v>46558</v>
      </c>
      <c r="B95" s="35">
        <f>IF(DIAS365('CALCULADORA TIV V-1'!$E$6,A95)&lt;0,0,DIAS365('CALCULADORA TIV V-1'!$E$6,A95))</f>
        <v>1611</v>
      </c>
      <c r="C95" s="36">
        <f>+HLOOKUP('CALCULADORA TIV V-1'!$E$4,Tablas!$B$1:$B$181,Flujos!J95+1,FALSE)</f>
        <v>0</v>
      </c>
      <c r="D95" s="76">
        <f t="shared" si="9"/>
        <v>0</v>
      </c>
      <c r="E95" s="37">
        <f t="shared" si="11"/>
        <v>0</v>
      </c>
      <c r="F95" s="37">
        <f>ROUND(D94*ROUND(((1+'CALCULADORA TIV V-1'!$C$14)^(1/12)-1),6),6)</f>
        <v>0</v>
      </c>
      <c r="G95" s="37">
        <f t="shared" si="12"/>
        <v>0</v>
      </c>
      <c r="H95" s="38">
        <f>IF($B95=0,0,G95/POWER(1+'CALCULADORA TIV V-1'!$F$11,Flujos!$B95/365))</f>
        <v>0</v>
      </c>
      <c r="I95" s="39">
        <f t="shared" si="10"/>
        <v>46558</v>
      </c>
      <c r="J95" s="40">
        <v>93</v>
      </c>
      <c r="K95" s="41">
        <f t="shared" si="13"/>
        <v>2828</v>
      </c>
      <c r="L95" s="42">
        <f t="shared" si="14"/>
        <v>0</v>
      </c>
      <c r="M95" s="43">
        <f t="shared" si="15"/>
        <v>0</v>
      </c>
      <c r="N95" s="43">
        <f t="shared" si="16"/>
        <v>0</v>
      </c>
      <c r="O95" s="44">
        <f t="shared" si="17"/>
        <v>0</v>
      </c>
    </row>
    <row r="96" spans="1:15" ht="12.75">
      <c r="A96" s="159">
        <v>46588</v>
      </c>
      <c r="B96" s="35">
        <f>IF(DIAS365('CALCULADORA TIV V-1'!$E$6,A96)&lt;0,0,DIAS365('CALCULADORA TIV V-1'!$E$6,A96))</f>
        <v>1641</v>
      </c>
      <c r="C96" s="36">
        <f>+HLOOKUP('CALCULADORA TIV V-1'!$E$4,Tablas!$B$1:$B$181,Flujos!J96+1,FALSE)</f>
        <v>0</v>
      </c>
      <c r="D96" s="76">
        <f t="shared" si="9"/>
        <v>0</v>
      </c>
      <c r="E96" s="37">
        <f t="shared" si="11"/>
        <v>0</v>
      </c>
      <c r="F96" s="37">
        <f>ROUND(D95*ROUND(((1+'CALCULADORA TIV V-1'!$C$14)^(1/12)-1),6),6)</f>
        <v>0</v>
      </c>
      <c r="G96" s="37">
        <f t="shared" si="12"/>
        <v>0</v>
      </c>
      <c r="H96" s="38">
        <f>IF($B96=0,0,G96/POWER(1+'CALCULADORA TIV V-1'!$F$11,Flujos!$B96/365))</f>
        <v>0</v>
      </c>
      <c r="I96" s="39">
        <f t="shared" si="10"/>
        <v>46588</v>
      </c>
      <c r="J96" s="40">
        <v>94</v>
      </c>
      <c r="K96" s="41">
        <f t="shared" si="13"/>
        <v>2858</v>
      </c>
      <c r="L96" s="42">
        <f t="shared" si="14"/>
        <v>0</v>
      </c>
      <c r="M96" s="43">
        <f t="shared" si="15"/>
        <v>0</v>
      </c>
      <c r="N96" s="43">
        <f t="shared" si="16"/>
        <v>0</v>
      </c>
      <c r="O96" s="44">
        <f t="shared" si="17"/>
        <v>0</v>
      </c>
    </row>
    <row r="97" spans="1:15" ht="12.75">
      <c r="A97" s="159">
        <v>46619</v>
      </c>
      <c r="B97" s="35">
        <f>IF(DIAS365('CALCULADORA TIV V-1'!$E$6,A97)&lt;0,0,DIAS365('CALCULADORA TIV V-1'!$E$6,A97))</f>
        <v>1672</v>
      </c>
      <c r="C97" s="36">
        <f>+HLOOKUP('CALCULADORA TIV V-1'!$E$4,Tablas!$B$1:$B$181,Flujos!J97+1,FALSE)</f>
        <v>0</v>
      </c>
      <c r="D97" s="76">
        <f t="shared" si="9"/>
        <v>0</v>
      </c>
      <c r="E97" s="37">
        <f t="shared" si="11"/>
        <v>0</v>
      </c>
      <c r="F97" s="37">
        <f>ROUND(D96*ROUND(((1+'CALCULADORA TIV V-1'!$C$14)^(1/12)-1),6),6)</f>
        <v>0</v>
      </c>
      <c r="G97" s="37">
        <f t="shared" si="12"/>
        <v>0</v>
      </c>
      <c r="H97" s="38">
        <f>IF($B97=0,0,G97/POWER(1+'CALCULADORA TIV V-1'!$F$11,Flujos!$B97/365))</f>
        <v>0</v>
      </c>
      <c r="I97" s="39">
        <f t="shared" si="10"/>
        <v>46619</v>
      </c>
      <c r="J97" s="40">
        <v>95</v>
      </c>
      <c r="K97" s="41">
        <f t="shared" si="13"/>
        <v>2889</v>
      </c>
      <c r="L97" s="42">
        <f t="shared" si="14"/>
        <v>0</v>
      </c>
      <c r="M97" s="43">
        <f t="shared" si="15"/>
        <v>0</v>
      </c>
      <c r="N97" s="43">
        <f t="shared" si="16"/>
        <v>0</v>
      </c>
      <c r="O97" s="44">
        <f t="shared" si="17"/>
        <v>0</v>
      </c>
    </row>
    <row r="98" spans="1:15" ht="12.75">
      <c r="A98" s="159">
        <v>46650</v>
      </c>
      <c r="B98" s="35">
        <f>IF(DIAS365('CALCULADORA TIV V-1'!$E$6,A98)&lt;0,0,DIAS365('CALCULADORA TIV V-1'!$E$6,A98))</f>
        <v>1703</v>
      </c>
      <c r="C98" s="36">
        <f>+HLOOKUP('CALCULADORA TIV V-1'!$E$4,Tablas!$B$1:$B$181,Flujos!J98+1,FALSE)</f>
        <v>0</v>
      </c>
      <c r="D98" s="76">
        <f t="shared" si="9"/>
        <v>0</v>
      </c>
      <c r="E98" s="37">
        <f t="shared" si="11"/>
        <v>0</v>
      </c>
      <c r="F98" s="37">
        <f>ROUND(D97*ROUND(((1+'CALCULADORA TIV V-1'!$C$14)^(1/12)-1),6),6)</f>
        <v>0</v>
      </c>
      <c r="G98" s="37">
        <f t="shared" si="12"/>
        <v>0</v>
      </c>
      <c r="H98" s="38">
        <f>IF($B98=0,0,G98/POWER(1+'CALCULADORA TIV V-1'!$F$11,Flujos!$B98/365))</f>
        <v>0</v>
      </c>
      <c r="I98" s="39">
        <f t="shared" si="10"/>
        <v>46650</v>
      </c>
      <c r="J98" s="40">
        <v>96</v>
      </c>
      <c r="K98" s="41">
        <f t="shared" si="13"/>
        <v>2920</v>
      </c>
      <c r="L98" s="42">
        <f t="shared" si="14"/>
        <v>0</v>
      </c>
      <c r="M98" s="43">
        <f t="shared" si="15"/>
        <v>0</v>
      </c>
      <c r="N98" s="43">
        <f t="shared" si="16"/>
        <v>0</v>
      </c>
      <c r="O98" s="44">
        <f t="shared" si="17"/>
        <v>0</v>
      </c>
    </row>
    <row r="99" spans="1:15" ht="12.75">
      <c r="A99" s="159">
        <v>46680</v>
      </c>
      <c r="B99" s="35">
        <f>IF(DIAS365('CALCULADORA TIV V-1'!$E$6,A99)&lt;0,0,DIAS365('CALCULADORA TIV V-1'!$E$6,A99))</f>
        <v>1733</v>
      </c>
      <c r="C99" s="36">
        <f>+HLOOKUP('CALCULADORA TIV V-1'!$E$4,Tablas!$B$1:$B$181,Flujos!J99+1,FALSE)</f>
        <v>0</v>
      </c>
      <c r="D99" s="76">
        <f t="shared" si="9"/>
        <v>0</v>
      </c>
      <c r="E99" s="37">
        <f t="shared" si="11"/>
        <v>0</v>
      </c>
      <c r="F99" s="37">
        <f>ROUND(D98*ROUND(((1+'CALCULADORA TIV V-1'!$C$14)^(1/12)-1),6),6)</f>
        <v>0</v>
      </c>
      <c r="G99" s="37">
        <f t="shared" si="12"/>
        <v>0</v>
      </c>
      <c r="H99" s="38">
        <f>IF($B99=0,0,G99/POWER(1+'CALCULADORA TIV V-1'!$F$11,Flujos!$B99/365))</f>
        <v>0</v>
      </c>
      <c r="I99" s="39">
        <f t="shared" si="10"/>
        <v>46680</v>
      </c>
      <c r="J99" s="40">
        <v>97</v>
      </c>
      <c r="K99" s="41">
        <f t="shared" si="13"/>
        <v>2950</v>
      </c>
      <c r="L99" s="42">
        <f t="shared" si="14"/>
        <v>0</v>
      </c>
      <c r="M99" s="43">
        <f t="shared" si="15"/>
        <v>0</v>
      </c>
      <c r="N99" s="43">
        <f t="shared" si="16"/>
        <v>0</v>
      </c>
      <c r="O99" s="44">
        <f t="shared" si="17"/>
        <v>0</v>
      </c>
    </row>
    <row r="100" spans="1:15" ht="12.75">
      <c r="A100" s="159">
        <v>46711</v>
      </c>
      <c r="B100" s="35">
        <f>IF(DIAS365('CALCULADORA TIV V-1'!$E$6,A100)&lt;0,0,DIAS365('CALCULADORA TIV V-1'!$E$6,A100))</f>
        <v>1764</v>
      </c>
      <c r="C100" s="36">
        <f>+HLOOKUP('CALCULADORA TIV V-1'!$E$4,Tablas!$B$1:$B$181,Flujos!J100+1,FALSE)</f>
        <v>0</v>
      </c>
      <c r="D100" s="76">
        <f t="shared" si="9"/>
        <v>0</v>
      </c>
      <c r="E100" s="37">
        <f t="shared" si="11"/>
        <v>0</v>
      </c>
      <c r="F100" s="37">
        <f>ROUND(D99*ROUND(((1+'CALCULADORA TIV V-1'!$C$14)^(1/12)-1),6),6)</f>
        <v>0</v>
      </c>
      <c r="G100" s="37">
        <f t="shared" si="12"/>
        <v>0</v>
      </c>
      <c r="H100" s="38">
        <f>IF($B100=0,0,G100/POWER(1+'CALCULADORA TIV V-1'!$F$11,Flujos!$B100/365))</f>
        <v>0</v>
      </c>
      <c r="I100" s="39">
        <f t="shared" si="10"/>
        <v>46711</v>
      </c>
      <c r="J100" s="40">
        <v>98</v>
      </c>
      <c r="K100" s="41">
        <f t="shared" si="13"/>
        <v>2981</v>
      </c>
      <c r="L100" s="42">
        <f t="shared" si="14"/>
        <v>0</v>
      </c>
      <c r="M100" s="43">
        <f t="shared" si="15"/>
        <v>0</v>
      </c>
      <c r="N100" s="43">
        <f t="shared" si="16"/>
        <v>0</v>
      </c>
      <c r="O100" s="44">
        <f t="shared" si="17"/>
        <v>0</v>
      </c>
    </row>
    <row r="101" spans="1:15" ht="12.75">
      <c r="A101" s="159">
        <v>46741</v>
      </c>
      <c r="B101" s="35">
        <f>IF(DIAS365('CALCULADORA TIV V-1'!$E$6,A101)&lt;0,0,DIAS365('CALCULADORA TIV V-1'!$E$6,A101))</f>
        <v>1794</v>
      </c>
      <c r="C101" s="36">
        <f>+HLOOKUP('CALCULADORA TIV V-1'!$E$4,Tablas!$B$1:$B$181,Flujos!J101+1,FALSE)</f>
        <v>0</v>
      </c>
      <c r="D101" s="76">
        <f t="shared" si="9"/>
        <v>0</v>
      </c>
      <c r="E101" s="37">
        <f t="shared" si="11"/>
        <v>0</v>
      </c>
      <c r="F101" s="37">
        <f>ROUND(D100*ROUND(((1+'CALCULADORA TIV V-1'!$C$14)^(1/12)-1),6),6)</f>
        <v>0</v>
      </c>
      <c r="G101" s="37">
        <f t="shared" si="12"/>
        <v>0</v>
      </c>
      <c r="H101" s="38">
        <f>IF($B101=0,0,G101/POWER(1+'CALCULADORA TIV V-1'!$F$11,Flujos!$B101/365))</f>
        <v>0</v>
      </c>
      <c r="I101" s="39">
        <f t="shared" si="10"/>
        <v>46741</v>
      </c>
      <c r="J101" s="40">
        <v>99</v>
      </c>
      <c r="K101" s="41">
        <f t="shared" si="13"/>
        <v>3011</v>
      </c>
      <c r="L101" s="42">
        <f t="shared" si="14"/>
        <v>0</v>
      </c>
      <c r="M101" s="43">
        <f t="shared" si="15"/>
        <v>0</v>
      </c>
      <c r="N101" s="43">
        <f t="shared" si="16"/>
        <v>0</v>
      </c>
      <c r="O101" s="44">
        <f t="shared" si="17"/>
        <v>0</v>
      </c>
    </row>
    <row r="102" spans="1:15" ht="12.75">
      <c r="A102" s="159">
        <v>46772</v>
      </c>
      <c r="B102" s="35">
        <f>IF(DIAS365('CALCULADORA TIV V-1'!$E$6,A102)&lt;0,0,DIAS365('CALCULADORA TIV V-1'!$E$6,A102))</f>
        <v>1825</v>
      </c>
      <c r="C102" s="36">
        <f>+HLOOKUP('CALCULADORA TIV V-1'!$E$4,Tablas!$B$1:$B$181,Flujos!J102+1,FALSE)</f>
        <v>0</v>
      </c>
      <c r="D102" s="76">
        <f t="shared" si="9"/>
        <v>0</v>
      </c>
      <c r="E102" s="37">
        <f t="shared" si="11"/>
        <v>0</v>
      </c>
      <c r="F102" s="37">
        <f>ROUND(D101*ROUND(((1+'CALCULADORA TIV V-1'!$C$14)^(1/12)-1),6),6)</f>
        <v>0</v>
      </c>
      <c r="G102" s="37">
        <f t="shared" si="12"/>
        <v>0</v>
      </c>
      <c r="H102" s="38">
        <f>IF($B102=0,0,G102/POWER(1+'CALCULADORA TIV V-1'!$F$11,Flujos!$B102/365))</f>
        <v>0</v>
      </c>
      <c r="I102" s="39">
        <f t="shared" si="10"/>
        <v>46772</v>
      </c>
      <c r="J102" s="40">
        <v>100</v>
      </c>
      <c r="K102" s="41">
        <f t="shared" si="13"/>
        <v>3042</v>
      </c>
      <c r="L102" s="42">
        <f t="shared" si="14"/>
        <v>0</v>
      </c>
      <c r="M102" s="43">
        <f t="shared" si="15"/>
        <v>0</v>
      </c>
      <c r="N102" s="43">
        <f t="shared" si="16"/>
        <v>0</v>
      </c>
      <c r="O102" s="44">
        <f t="shared" si="17"/>
        <v>0</v>
      </c>
    </row>
    <row r="103" spans="1:15" ht="12.75">
      <c r="A103" s="159">
        <v>46803</v>
      </c>
      <c r="B103" s="35">
        <f>IF(DIAS365('CALCULADORA TIV V-1'!$E$6,A103)&lt;0,0,DIAS365('CALCULADORA TIV V-1'!$E$6,A103))</f>
        <v>1856</v>
      </c>
      <c r="C103" s="36">
        <f>+HLOOKUP('CALCULADORA TIV V-1'!$E$4,Tablas!$B$1:$B$181,Flujos!J103+1,FALSE)</f>
        <v>0</v>
      </c>
      <c r="D103" s="76">
        <f t="shared" si="9"/>
        <v>0</v>
      </c>
      <c r="E103" s="37">
        <f t="shared" si="11"/>
        <v>0</v>
      </c>
      <c r="F103" s="37">
        <f>ROUND(D102*ROUND(((1+'CALCULADORA TIV V-1'!$C$14)^(1/12)-1),6),6)</f>
        <v>0</v>
      </c>
      <c r="G103" s="37">
        <f t="shared" si="12"/>
        <v>0</v>
      </c>
      <c r="H103" s="38">
        <f>IF($B103=0,0,G103/POWER(1+'CALCULADORA TIV V-1'!$F$11,Flujos!$B103/365))</f>
        <v>0</v>
      </c>
      <c r="I103" s="39">
        <f t="shared" si="10"/>
        <v>46803</v>
      </c>
      <c r="J103" s="40">
        <v>101</v>
      </c>
      <c r="K103" s="41">
        <f t="shared" si="13"/>
        <v>3073</v>
      </c>
      <c r="L103" s="42">
        <f t="shared" si="14"/>
        <v>0</v>
      </c>
      <c r="M103" s="43">
        <f t="shared" si="15"/>
        <v>0</v>
      </c>
      <c r="N103" s="43">
        <f t="shared" si="16"/>
        <v>0</v>
      </c>
      <c r="O103" s="44">
        <f t="shared" si="17"/>
        <v>0</v>
      </c>
    </row>
    <row r="104" spans="1:15" ht="12.75">
      <c r="A104" s="159">
        <v>46832</v>
      </c>
      <c r="B104" s="35">
        <f>IF(DIAS365('CALCULADORA TIV V-1'!$E$6,A104)&lt;0,0,DIAS365('CALCULADORA TIV V-1'!$E$6,A104))</f>
        <v>1884</v>
      </c>
      <c r="C104" s="36">
        <f>+HLOOKUP('CALCULADORA TIV V-1'!$E$4,Tablas!$B$1:$B$181,Flujos!J104+1,FALSE)</f>
        <v>0</v>
      </c>
      <c r="D104" s="76">
        <f t="shared" si="9"/>
        <v>0</v>
      </c>
      <c r="E104" s="37">
        <f t="shared" si="11"/>
        <v>0</v>
      </c>
      <c r="F104" s="37">
        <f>ROUND(D103*ROUND(((1+'CALCULADORA TIV V-1'!$C$14)^(1/12)-1),6),6)</f>
        <v>0</v>
      </c>
      <c r="G104" s="37">
        <f t="shared" si="12"/>
        <v>0</v>
      </c>
      <c r="H104" s="38">
        <f>IF($B104=0,0,G104/POWER(1+'CALCULADORA TIV V-1'!$F$11,Flujos!$B104/365))</f>
        <v>0</v>
      </c>
      <c r="I104" s="39">
        <f t="shared" si="10"/>
        <v>46832</v>
      </c>
      <c r="J104" s="40">
        <v>102</v>
      </c>
      <c r="K104" s="41">
        <f t="shared" si="13"/>
        <v>3101</v>
      </c>
      <c r="L104" s="42">
        <f t="shared" si="14"/>
        <v>0</v>
      </c>
      <c r="M104" s="43">
        <f t="shared" si="15"/>
        <v>0</v>
      </c>
      <c r="N104" s="43">
        <f t="shared" si="16"/>
        <v>0</v>
      </c>
      <c r="O104" s="44">
        <f t="shared" si="17"/>
        <v>0</v>
      </c>
    </row>
    <row r="105" spans="1:15" ht="12.75">
      <c r="A105" s="159">
        <v>46863</v>
      </c>
      <c r="B105" s="35">
        <f>IF(DIAS365('CALCULADORA TIV V-1'!$E$6,A105)&lt;0,0,DIAS365('CALCULADORA TIV V-1'!$E$6,A105))</f>
        <v>1915</v>
      </c>
      <c r="C105" s="36">
        <f>+HLOOKUP('CALCULADORA TIV V-1'!$E$4,Tablas!$B$1:$B$181,Flujos!J105+1,FALSE)</f>
        <v>0</v>
      </c>
      <c r="D105" s="76">
        <f t="shared" si="9"/>
        <v>0</v>
      </c>
      <c r="E105" s="37">
        <f t="shared" si="11"/>
        <v>0</v>
      </c>
      <c r="F105" s="37">
        <f>ROUND(D104*ROUND(((1+'CALCULADORA TIV V-1'!$C$14)^(1/12)-1),6),6)</f>
        <v>0</v>
      </c>
      <c r="G105" s="37">
        <f t="shared" si="12"/>
        <v>0</v>
      </c>
      <c r="H105" s="38">
        <f>IF($B105=0,0,G105/POWER(1+'CALCULADORA TIV V-1'!$F$11,Flujos!$B105/365))</f>
        <v>0</v>
      </c>
      <c r="I105" s="39">
        <f t="shared" si="10"/>
        <v>46863</v>
      </c>
      <c r="J105" s="40">
        <v>103</v>
      </c>
      <c r="K105" s="41">
        <f t="shared" si="13"/>
        <v>3132</v>
      </c>
      <c r="L105" s="42">
        <f t="shared" si="14"/>
        <v>0</v>
      </c>
      <c r="M105" s="43">
        <f t="shared" si="15"/>
        <v>0</v>
      </c>
      <c r="N105" s="43">
        <f t="shared" si="16"/>
        <v>0</v>
      </c>
      <c r="O105" s="44">
        <f t="shared" si="17"/>
        <v>0</v>
      </c>
    </row>
    <row r="106" spans="1:15" ht="12.75">
      <c r="A106" s="159">
        <v>46893</v>
      </c>
      <c r="B106" s="35">
        <f>IF(DIAS365('CALCULADORA TIV V-1'!$E$6,A106)&lt;0,0,DIAS365('CALCULADORA TIV V-1'!$E$6,A106))</f>
        <v>1945</v>
      </c>
      <c r="C106" s="36">
        <f>+HLOOKUP('CALCULADORA TIV V-1'!$E$4,Tablas!$B$1:$B$181,Flujos!J106+1,FALSE)</f>
        <v>0</v>
      </c>
      <c r="D106" s="76">
        <f t="shared" si="9"/>
        <v>0</v>
      </c>
      <c r="E106" s="37">
        <f t="shared" si="11"/>
        <v>0</v>
      </c>
      <c r="F106" s="37">
        <f>ROUND(D105*ROUND(((1+'CALCULADORA TIV V-1'!$C$14)^(1/12)-1),6),6)</f>
        <v>0</v>
      </c>
      <c r="G106" s="37">
        <f t="shared" si="12"/>
        <v>0</v>
      </c>
      <c r="H106" s="38">
        <f>IF($B106=0,0,G106/POWER(1+'CALCULADORA TIV V-1'!$F$11,Flujos!$B106/365))</f>
        <v>0</v>
      </c>
      <c r="I106" s="39">
        <f t="shared" si="10"/>
        <v>46893</v>
      </c>
      <c r="J106" s="40">
        <v>104</v>
      </c>
      <c r="K106" s="41">
        <f t="shared" si="13"/>
        <v>3162</v>
      </c>
      <c r="L106" s="42">
        <f t="shared" si="14"/>
        <v>0</v>
      </c>
      <c r="M106" s="43">
        <f t="shared" si="15"/>
        <v>0</v>
      </c>
      <c r="N106" s="43">
        <f t="shared" si="16"/>
        <v>0</v>
      </c>
      <c r="O106" s="44">
        <f t="shared" si="17"/>
        <v>0</v>
      </c>
    </row>
    <row r="107" spans="1:15" ht="12.75">
      <c r="A107" s="159">
        <v>46924</v>
      </c>
      <c r="B107" s="35">
        <f>IF(DIAS365('CALCULADORA TIV V-1'!$E$6,A107)&lt;0,0,DIAS365('CALCULADORA TIV V-1'!$E$6,A107))</f>
        <v>1976</v>
      </c>
      <c r="C107" s="36">
        <f>+HLOOKUP('CALCULADORA TIV V-1'!$E$4,Tablas!$B$1:$B$181,Flujos!J107+1,FALSE)</f>
        <v>0</v>
      </c>
      <c r="D107" s="76">
        <f t="shared" si="9"/>
        <v>0</v>
      </c>
      <c r="E107" s="37">
        <f t="shared" si="11"/>
        <v>0</v>
      </c>
      <c r="F107" s="37">
        <f>ROUND(D106*ROUND(((1+'CALCULADORA TIV V-1'!$C$14)^(1/12)-1),6),6)</f>
        <v>0</v>
      </c>
      <c r="G107" s="37">
        <f t="shared" si="12"/>
        <v>0</v>
      </c>
      <c r="H107" s="38">
        <f>IF($B107=0,0,G107/POWER(1+'CALCULADORA TIV V-1'!$F$11,Flujos!$B107/365))</f>
        <v>0</v>
      </c>
      <c r="I107" s="39">
        <f t="shared" si="10"/>
        <v>46924</v>
      </c>
      <c r="J107" s="40">
        <v>105</v>
      </c>
      <c r="K107" s="41">
        <f t="shared" si="13"/>
        <v>3193</v>
      </c>
      <c r="L107" s="42">
        <f t="shared" si="14"/>
        <v>0</v>
      </c>
      <c r="M107" s="43">
        <f t="shared" si="15"/>
        <v>0</v>
      </c>
      <c r="N107" s="43">
        <f t="shared" si="16"/>
        <v>0</v>
      </c>
      <c r="O107" s="44">
        <f t="shared" si="17"/>
        <v>0</v>
      </c>
    </row>
    <row r="108" spans="1:15" ht="12.75">
      <c r="A108" s="159">
        <v>46954</v>
      </c>
      <c r="B108" s="35">
        <f>IF(DIAS365('CALCULADORA TIV V-1'!$E$6,A108)&lt;0,0,DIAS365('CALCULADORA TIV V-1'!$E$6,A108))</f>
        <v>2006</v>
      </c>
      <c r="C108" s="36">
        <f>+HLOOKUP('CALCULADORA TIV V-1'!$E$4,Tablas!$B$1:$B$181,Flujos!J108+1,FALSE)</f>
        <v>0</v>
      </c>
      <c r="D108" s="76">
        <f t="shared" si="9"/>
        <v>0</v>
      </c>
      <c r="E108" s="37">
        <f t="shared" si="11"/>
        <v>0</v>
      </c>
      <c r="F108" s="37">
        <f>ROUND(D107*ROUND(((1+'CALCULADORA TIV V-1'!$C$14)^(1/12)-1),6),6)</f>
        <v>0</v>
      </c>
      <c r="G108" s="37">
        <f t="shared" si="12"/>
        <v>0</v>
      </c>
      <c r="H108" s="38">
        <f>IF($B108=0,0,G108/POWER(1+'CALCULADORA TIV V-1'!$F$11,Flujos!$B108/365))</f>
        <v>0</v>
      </c>
      <c r="I108" s="39">
        <f t="shared" si="10"/>
        <v>46954</v>
      </c>
      <c r="J108" s="40">
        <v>106</v>
      </c>
      <c r="K108" s="41">
        <f t="shared" si="13"/>
        <v>3223</v>
      </c>
      <c r="L108" s="42">
        <f t="shared" si="14"/>
        <v>0</v>
      </c>
      <c r="M108" s="43">
        <f t="shared" si="15"/>
        <v>0</v>
      </c>
      <c r="N108" s="43">
        <f t="shared" si="16"/>
        <v>0</v>
      </c>
      <c r="O108" s="44">
        <f t="shared" si="17"/>
        <v>0</v>
      </c>
    </row>
    <row r="109" spans="1:15" ht="12.75">
      <c r="A109" s="159">
        <v>46985</v>
      </c>
      <c r="B109" s="35">
        <f>IF(DIAS365('CALCULADORA TIV V-1'!$E$6,A109)&lt;0,0,DIAS365('CALCULADORA TIV V-1'!$E$6,A109))</f>
        <v>2037</v>
      </c>
      <c r="C109" s="36">
        <f>+HLOOKUP('CALCULADORA TIV V-1'!$E$4,Tablas!$B$1:$B$181,Flujos!J109+1,FALSE)</f>
        <v>0</v>
      </c>
      <c r="D109" s="76">
        <f t="shared" si="9"/>
        <v>0</v>
      </c>
      <c r="E109" s="37">
        <f t="shared" si="11"/>
        <v>0</v>
      </c>
      <c r="F109" s="37">
        <f>ROUND(D108*ROUND(((1+'CALCULADORA TIV V-1'!$C$14)^(1/12)-1),6),6)</f>
        <v>0</v>
      </c>
      <c r="G109" s="37">
        <f t="shared" si="12"/>
        <v>0</v>
      </c>
      <c r="H109" s="38">
        <f>IF($B109=0,0,G109/POWER(1+'CALCULADORA TIV V-1'!$F$11,Flujos!$B109/365))</f>
        <v>0</v>
      </c>
      <c r="I109" s="39">
        <f t="shared" si="10"/>
        <v>46985</v>
      </c>
      <c r="J109" s="40">
        <v>107</v>
      </c>
      <c r="K109" s="41">
        <f t="shared" si="13"/>
        <v>3254</v>
      </c>
      <c r="L109" s="42">
        <f t="shared" si="14"/>
        <v>0</v>
      </c>
      <c r="M109" s="43">
        <f t="shared" si="15"/>
        <v>0</v>
      </c>
      <c r="N109" s="43">
        <f t="shared" si="16"/>
        <v>0</v>
      </c>
      <c r="O109" s="44">
        <f t="shared" si="17"/>
        <v>0</v>
      </c>
    </row>
    <row r="110" spans="1:15" ht="12.75">
      <c r="A110" s="159">
        <v>47016</v>
      </c>
      <c r="B110" s="35">
        <f>IF(DIAS365('CALCULADORA TIV V-1'!$E$6,A110)&lt;0,0,DIAS365('CALCULADORA TIV V-1'!$E$6,A110))</f>
        <v>2068</v>
      </c>
      <c r="C110" s="36">
        <f>+HLOOKUP('CALCULADORA TIV V-1'!$E$4,Tablas!$B$1:$B$181,Flujos!J110+1,FALSE)</f>
        <v>0</v>
      </c>
      <c r="D110" s="76">
        <f t="shared" si="9"/>
        <v>0</v>
      </c>
      <c r="E110" s="37">
        <f t="shared" si="11"/>
        <v>0</v>
      </c>
      <c r="F110" s="37">
        <f>ROUND(D109*ROUND(((1+'CALCULADORA TIV V-1'!$C$14)^(1/12)-1),6),6)</f>
        <v>0</v>
      </c>
      <c r="G110" s="37">
        <f t="shared" si="12"/>
        <v>0</v>
      </c>
      <c r="H110" s="38">
        <f>IF($B110=0,0,G110/POWER(1+'CALCULADORA TIV V-1'!$F$11,Flujos!$B110/365))</f>
        <v>0</v>
      </c>
      <c r="I110" s="39">
        <f t="shared" si="10"/>
        <v>47016</v>
      </c>
      <c r="J110" s="40">
        <v>108</v>
      </c>
      <c r="K110" s="41">
        <f t="shared" si="13"/>
        <v>3285</v>
      </c>
      <c r="L110" s="42">
        <f t="shared" si="14"/>
        <v>0</v>
      </c>
      <c r="M110" s="43">
        <f t="shared" si="15"/>
        <v>0</v>
      </c>
      <c r="N110" s="43">
        <f t="shared" si="16"/>
        <v>0</v>
      </c>
      <c r="O110" s="44">
        <f t="shared" si="17"/>
        <v>0</v>
      </c>
    </row>
    <row r="111" spans="1:15" ht="12.75">
      <c r="A111" s="159">
        <v>47046</v>
      </c>
      <c r="B111" s="35">
        <f>IF(DIAS365('CALCULADORA TIV V-1'!$E$6,A111)&lt;0,0,DIAS365('CALCULADORA TIV V-1'!$E$6,A111))</f>
        <v>2098</v>
      </c>
      <c r="C111" s="36">
        <f>+HLOOKUP('CALCULADORA TIV V-1'!$E$4,Tablas!$B$1:$B$181,Flujos!J111+1,FALSE)</f>
        <v>0</v>
      </c>
      <c r="D111" s="76">
        <f t="shared" si="9"/>
        <v>0</v>
      </c>
      <c r="E111" s="37">
        <f t="shared" si="11"/>
        <v>0</v>
      </c>
      <c r="F111" s="37">
        <f>ROUND(D110*ROUND(((1+'CALCULADORA TIV V-1'!$C$14)^(1/12)-1),6),6)</f>
        <v>0</v>
      </c>
      <c r="G111" s="37">
        <f t="shared" si="12"/>
        <v>0</v>
      </c>
      <c r="H111" s="38">
        <f>IF($B111=0,0,G111/POWER(1+'CALCULADORA TIV V-1'!$F$11,Flujos!$B111/365))</f>
        <v>0</v>
      </c>
      <c r="I111" s="39">
        <f t="shared" si="10"/>
        <v>47046</v>
      </c>
      <c r="J111" s="40">
        <v>109</v>
      </c>
      <c r="K111" s="41">
        <f t="shared" si="13"/>
        <v>3315</v>
      </c>
      <c r="L111" s="42">
        <f t="shared" si="14"/>
        <v>0</v>
      </c>
      <c r="M111" s="43">
        <f t="shared" si="15"/>
        <v>0</v>
      </c>
      <c r="N111" s="43">
        <f t="shared" si="16"/>
        <v>0</v>
      </c>
      <c r="O111" s="44">
        <f t="shared" si="17"/>
        <v>0</v>
      </c>
    </row>
    <row r="112" spans="1:15" ht="12.75">
      <c r="A112" s="159">
        <v>47077</v>
      </c>
      <c r="B112" s="35">
        <f>IF(DIAS365('CALCULADORA TIV V-1'!$E$6,A112)&lt;0,0,DIAS365('CALCULADORA TIV V-1'!$E$6,A112))</f>
        <v>2129</v>
      </c>
      <c r="C112" s="36">
        <f>+HLOOKUP('CALCULADORA TIV V-1'!$E$4,Tablas!$B$1:$B$181,Flujos!J112+1,FALSE)</f>
        <v>0</v>
      </c>
      <c r="D112" s="76">
        <f t="shared" si="9"/>
        <v>0</v>
      </c>
      <c r="E112" s="37">
        <f t="shared" si="11"/>
        <v>0</v>
      </c>
      <c r="F112" s="37">
        <f>ROUND(D111*ROUND(((1+'CALCULADORA TIV V-1'!$C$14)^(1/12)-1),6),6)</f>
        <v>0</v>
      </c>
      <c r="G112" s="37">
        <f t="shared" si="12"/>
        <v>0</v>
      </c>
      <c r="H112" s="38">
        <f>IF($B112=0,0,G112/POWER(1+'CALCULADORA TIV V-1'!$F$11,Flujos!$B112/365))</f>
        <v>0</v>
      </c>
      <c r="I112" s="39">
        <f t="shared" si="10"/>
        <v>47077</v>
      </c>
      <c r="J112" s="40">
        <v>110</v>
      </c>
      <c r="K112" s="41">
        <f t="shared" si="13"/>
        <v>3346</v>
      </c>
      <c r="L112" s="42">
        <f t="shared" si="14"/>
        <v>0</v>
      </c>
      <c r="M112" s="43">
        <f t="shared" si="15"/>
        <v>0</v>
      </c>
      <c r="N112" s="43">
        <f t="shared" si="16"/>
        <v>0</v>
      </c>
      <c r="O112" s="44">
        <f t="shared" si="17"/>
        <v>0</v>
      </c>
    </row>
    <row r="113" spans="1:15" ht="12.75">
      <c r="A113" s="159">
        <v>47107</v>
      </c>
      <c r="B113" s="35">
        <f>IF(DIAS365('CALCULADORA TIV V-1'!$E$6,A113)&lt;0,0,DIAS365('CALCULADORA TIV V-1'!$E$6,A113))</f>
        <v>2159</v>
      </c>
      <c r="C113" s="36">
        <f>+HLOOKUP('CALCULADORA TIV V-1'!$E$4,Tablas!$B$1:$B$181,Flujos!J113+1,FALSE)</f>
        <v>0</v>
      </c>
      <c r="D113" s="76">
        <f t="shared" si="9"/>
        <v>0</v>
      </c>
      <c r="E113" s="37">
        <f t="shared" si="11"/>
        <v>0</v>
      </c>
      <c r="F113" s="37">
        <f>ROUND(D112*ROUND(((1+'CALCULADORA TIV V-1'!$C$14)^(1/12)-1),6),6)</f>
        <v>0</v>
      </c>
      <c r="G113" s="37">
        <f t="shared" si="12"/>
        <v>0</v>
      </c>
      <c r="H113" s="38">
        <f>IF($B113=0,0,G113/POWER(1+'CALCULADORA TIV V-1'!$F$11,Flujos!$B113/365))</f>
        <v>0</v>
      </c>
      <c r="I113" s="39">
        <f t="shared" si="10"/>
        <v>47107</v>
      </c>
      <c r="J113" s="40">
        <v>111</v>
      </c>
      <c r="K113" s="41">
        <f t="shared" si="13"/>
        <v>3376</v>
      </c>
      <c r="L113" s="42">
        <f t="shared" si="14"/>
        <v>0</v>
      </c>
      <c r="M113" s="43">
        <f t="shared" si="15"/>
        <v>0</v>
      </c>
      <c r="N113" s="43">
        <f t="shared" si="16"/>
        <v>0</v>
      </c>
      <c r="O113" s="44">
        <f t="shared" si="17"/>
        <v>0</v>
      </c>
    </row>
    <row r="114" spans="1:15" ht="12.75">
      <c r="A114" s="159">
        <v>47138</v>
      </c>
      <c r="B114" s="35">
        <f>IF(DIAS365('CALCULADORA TIV V-1'!$E$6,A114)&lt;0,0,DIAS365('CALCULADORA TIV V-1'!$E$6,A114))</f>
        <v>2190</v>
      </c>
      <c r="C114" s="36">
        <f>+HLOOKUP('CALCULADORA TIV V-1'!$E$4,Tablas!$B$1:$B$181,Flujos!J114+1,FALSE)</f>
        <v>0</v>
      </c>
      <c r="D114" s="76">
        <f t="shared" si="9"/>
        <v>0</v>
      </c>
      <c r="E114" s="37">
        <f t="shared" si="11"/>
        <v>0</v>
      </c>
      <c r="F114" s="37">
        <f>ROUND(D113*ROUND(((1+'CALCULADORA TIV V-1'!$C$14)^(1/12)-1),6),6)</f>
        <v>0</v>
      </c>
      <c r="G114" s="37">
        <f t="shared" si="12"/>
        <v>0</v>
      </c>
      <c r="H114" s="38">
        <f>IF($B114=0,0,G114/POWER(1+'CALCULADORA TIV V-1'!$F$11,Flujos!$B114/365))</f>
        <v>0</v>
      </c>
      <c r="I114" s="39">
        <f t="shared" si="10"/>
        <v>47138</v>
      </c>
      <c r="J114" s="40">
        <v>112</v>
      </c>
      <c r="K114" s="41">
        <f t="shared" si="13"/>
        <v>3407</v>
      </c>
      <c r="L114" s="42">
        <f t="shared" si="14"/>
        <v>0</v>
      </c>
      <c r="M114" s="43">
        <f t="shared" si="15"/>
        <v>0</v>
      </c>
      <c r="N114" s="43">
        <f t="shared" si="16"/>
        <v>0</v>
      </c>
      <c r="O114" s="44">
        <f t="shared" si="17"/>
        <v>0</v>
      </c>
    </row>
    <row r="115" spans="1:15" ht="12.75">
      <c r="A115" s="159">
        <v>47169</v>
      </c>
      <c r="B115" s="35">
        <f>IF(DIAS365('CALCULADORA TIV V-1'!$E$6,A115)&lt;0,0,DIAS365('CALCULADORA TIV V-1'!$E$6,A115))</f>
        <v>2221</v>
      </c>
      <c r="C115" s="36">
        <f>+HLOOKUP('CALCULADORA TIV V-1'!$E$4,Tablas!$B$1:$B$181,Flujos!J115+1,FALSE)</f>
        <v>0</v>
      </c>
      <c r="D115" s="76">
        <f t="shared" si="9"/>
        <v>0</v>
      </c>
      <c r="E115" s="37">
        <f t="shared" si="11"/>
        <v>0</v>
      </c>
      <c r="F115" s="37">
        <f>ROUND(D114*ROUND(((1+'CALCULADORA TIV V-1'!$C$14)^(1/12)-1),6),6)</f>
        <v>0</v>
      </c>
      <c r="G115" s="37">
        <f t="shared" si="12"/>
        <v>0</v>
      </c>
      <c r="H115" s="38">
        <f>IF($B115=0,0,G115/POWER(1+'CALCULADORA TIV V-1'!$F$11,Flujos!$B115/365))</f>
        <v>0</v>
      </c>
      <c r="I115" s="39">
        <f t="shared" si="10"/>
        <v>47169</v>
      </c>
      <c r="J115" s="40">
        <v>113</v>
      </c>
      <c r="K115" s="41">
        <f t="shared" si="13"/>
        <v>3438</v>
      </c>
      <c r="L115" s="42">
        <f t="shared" si="14"/>
        <v>0</v>
      </c>
      <c r="M115" s="43">
        <f t="shared" si="15"/>
        <v>0</v>
      </c>
      <c r="N115" s="43">
        <f t="shared" si="16"/>
        <v>0</v>
      </c>
      <c r="O115" s="44">
        <f t="shared" si="17"/>
        <v>0</v>
      </c>
    </row>
    <row r="116" spans="1:15" ht="12.75">
      <c r="A116" s="159">
        <v>47197</v>
      </c>
      <c r="B116" s="35">
        <f>IF(DIAS365('CALCULADORA TIV V-1'!$E$6,A116)&lt;0,0,DIAS365('CALCULADORA TIV V-1'!$E$6,A116))</f>
        <v>2249</v>
      </c>
      <c r="C116" s="36">
        <f>+HLOOKUP('CALCULADORA TIV V-1'!$E$4,Tablas!$B$1:$B$181,Flujos!J116+1,FALSE)</f>
        <v>0</v>
      </c>
      <c r="D116" s="76">
        <f t="shared" si="9"/>
        <v>0</v>
      </c>
      <c r="E116" s="37">
        <f t="shared" si="11"/>
        <v>0</v>
      </c>
      <c r="F116" s="37">
        <f>ROUND(D115*ROUND(((1+'CALCULADORA TIV V-1'!$C$14)^(1/12)-1),6),6)</f>
        <v>0</v>
      </c>
      <c r="G116" s="37">
        <f t="shared" si="12"/>
        <v>0</v>
      </c>
      <c r="H116" s="38">
        <f>IF($B116=0,0,G116/POWER(1+'CALCULADORA TIV V-1'!$F$11,Flujos!$B116/365))</f>
        <v>0</v>
      </c>
      <c r="I116" s="39">
        <f t="shared" si="10"/>
        <v>47197</v>
      </c>
      <c r="J116" s="40">
        <v>114</v>
      </c>
      <c r="K116" s="41">
        <f t="shared" si="13"/>
        <v>3466</v>
      </c>
      <c r="L116" s="42">
        <f t="shared" si="14"/>
        <v>0</v>
      </c>
      <c r="M116" s="43">
        <f t="shared" si="15"/>
        <v>0</v>
      </c>
      <c r="N116" s="43">
        <f t="shared" si="16"/>
        <v>0</v>
      </c>
      <c r="O116" s="44">
        <f t="shared" si="17"/>
        <v>0</v>
      </c>
    </row>
    <row r="117" spans="1:15" ht="12.75">
      <c r="A117" s="159">
        <v>47228</v>
      </c>
      <c r="B117" s="35">
        <f>IF(DIAS365('CALCULADORA TIV V-1'!$E$6,A117)&lt;0,0,DIAS365('CALCULADORA TIV V-1'!$E$6,A117))</f>
        <v>2280</v>
      </c>
      <c r="C117" s="36">
        <f>+HLOOKUP('CALCULADORA TIV V-1'!$E$4,Tablas!$B$1:$B$181,Flujos!J117+1,FALSE)</f>
        <v>0</v>
      </c>
      <c r="D117" s="76">
        <f t="shared" si="9"/>
        <v>0</v>
      </c>
      <c r="E117" s="37">
        <f t="shared" si="11"/>
        <v>0</v>
      </c>
      <c r="F117" s="37">
        <f>ROUND(D116*ROUND(((1+'CALCULADORA TIV V-1'!$C$14)^(1/12)-1),6),6)</f>
        <v>0</v>
      </c>
      <c r="G117" s="37">
        <f t="shared" si="12"/>
        <v>0</v>
      </c>
      <c r="H117" s="38">
        <f>IF($B117=0,0,G117/POWER(1+'CALCULADORA TIV V-1'!$F$11,Flujos!$B117/365))</f>
        <v>0</v>
      </c>
      <c r="I117" s="39">
        <f t="shared" si="10"/>
        <v>47228</v>
      </c>
      <c r="J117" s="40">
        <v>115</v>
      </c>
      <c r="K117" s="41">
        <f t="shared" si="13"/>
        <v>3497</v>
      </c>
      <c r="L117" s="42">
        <f t="shared" si="14"/>
        <v>0</v>
      </c>
      <c r="M117" s="43">
        <f t="shared" si="15"/>
        <v>0</v>
      </c>
      <c r="N117" s="43">
        <f t="shared" si="16"/>
        <v>0</v>
      </c>
      <c r="O117" s="44">
        <f t="shared" si="17"/>
        <v>0</v>
      </c>
    </row>
    <row r="118" spans="1:15" ht="12.75">
      <c r="A118" s="159">
        <v>47258</v>
      </c>
      <c r="B118" s="35">
        <f>IF(DIAS365('CALCULADORA TIV V-1'!$E$6,A118)&lt;0,0,DIAS365('CALCULADORA TIV V-1'!$E$6,A118))</f>
        <v>2310</v>
      </c>
      <c r="C118" s="36">
        <f>+HLOOKUP('CALCULADORA TIV V-1'!$E$4,Tablas!$B$1:$B$181,Flujos!J118+1,FALSE)</f>
        <v>0</v>
      </c>
      <c r="D118" s="76">
        <f t="shared" si="9"/>
        <v>0</v>
      </c>
      <c r="E118" s="37">
        <f t="shared" si="11"/>
        <v>0</v>
      </c>
      <c r="F118" s="37">
        <f>ROUND(D117*ROUND(((1+'CALCULADORA TIV V-1'!$C$14)^(1/12)-1),6),6)</f>
        <v>0</v>
      </c>
      <c r="G118" s="37">
        <f t="shared" si="12"/>
        <v>0</v>
      </c>
      <c r="H118" s="38">
        <f>IF($B118=0,0,G118/POWER(1+'CALCULADORA TIV V-1'!$F$11,Flujos!$B118/365))</f>
        <v>0</v>
      </c>
      <c r="I118" s="39">
        <f t="shared" si="10"/>
        <v>47258</v>
      </c>
      <c r="J118" s="40">
        <v>116</v>
      </c>
      <c r="K118" s="41">
        <f t="shared" si="13"/>
        <v>3527</v>
      </c>
      <c r="L118" s="42">
        <f t="shared" si="14"/>
        <v>0</v>
      </c>
      <c r="M118" s="43">
        <f t="shared" si="15"/>
        <v>0</v>
      </c>
      <c r="N118" s="43">
        <f t="shared" si="16"/>
        <v>0</v>
      </c>
      <c r="O118" s="44">
        <f t="shared" si="17"/>
        <v>0</v>
      </c>
    </row>
    <row r="119" spans="1:15" ht="12.75">
      <c r="A119" s="159">
        <v>47289</v>
      </c>
      <c r="B119" s="35">
        <f>IF(DIAS365('CALCULADORA TIV V-1'!$E$6,A119)&lt;0,0,DIAS365('CALCULADORA TIV V-1'!$E$6,A119))</f>
        <v>2341</v>
      </c>
      <c r="C119" s="36">
        <f>+HLOOKUP('CALCULADORA TIV V-1'!$E$4,Tablas!$B$1:$B$181,Flujos!J119+1,FALSE)</f>
        <v>0</v>
      </c>
      <c r="D119" s="76">
        <f t="shared" si="9"/>
        <v>0</v>
      </c>
      <c r="E119" s="37">
        <f t="shared" si="11"/>
        <v>0</v>
      </c>
      <c r="F119" s="37">
        <f>ROUND(D118*ROUND(((1+'CALCULADORA TIV V-1'!$C$14)^(1/12)-1),6),6)</f>
        <v>0</v>
      </c>
      <c r="G119" s="37">
        <f t="shared" si="12"/>
        <v>0</v>
      </c>
      <c r="H119" s="38">
        <f>IF($B119=0,0,G119/POWER(1+'CALCULADORA TIV V-1'!$F$11,Flujos!$B119/365))</f>
        <v>0</v>
      </c>
      <c r="I119" s="39">
        <f t="shared" si="10"/>
        <v>47289</v>
      </c>
      <c r="J119" s="40">
        <v>117</v>
      </c>
      <c r="K119" s="41">
        <f t="shared" si="13"/>
        <v>3558</v>
      </c>
      <c r="L119" s="42">
        <f t="shared" si="14"/>
        <v>0</v>
      </c>
      <c r="M119" s="43">
        <f t="shared" si="15"/>
        <v>0</v>
      </c>
      <c r="N119" s="43">
        <f t="shared" si="16"/>
        <v>0</v>
      </c>
      <c r="O119" s="44">
        <f t="shared" si="17"/>
        <v>0</v>
      </c>
    </row>
    <row r="120" spans="1:15" ht="12.75">
      <c r="A120" s="159">
        <v>47319</v>
      </c>
      <c r="B120" s="35">
        <f>IF(DIAS365('CALCULADORA TIV V-1'!$E$6,A120)&lt;0,0,DIAS365('CALCULADORA TIV V-1'!$E$6,A120))</f>
        <v>2371</v>
      </c>
      <c r="C120" s="36">
        <f>+HLOOKUP('CALCULADORA TIV V-1'!$E$4,Tablas!$B$1:$B$181,Flujos!J120+1,FALSE)</f>
        <v>0</v>
      </c>
      <c r="D120" s="76">
        <f t="shared" si="9"/>
        <v>0</v>
      </c>
      <c r="E120" s="37">
        <f t="shared" si="11"/>
        <v>0</v>
      </c>
      <c r="F120" s="37">
        <f>ROUND(D119*ROUND(((1+'CALCULADORA TIV V-1'!$C$14)^(1/12)-1),6),6)</f>
        <v>0</v>
      </c>
      <c r="G120" s="37">
        <f t="shared" si="12"/>
        <v>0</v>
      </c>
      <c r="H120" s="38">
        <f>IF($B120=0,0,G120/POWER(1+'CALCULADORA TIV V-1'!$F$11,Flujos!$B120/365))</f>
        <v>0</v>
      </c>
      <c r="I120" s="39">
        <f t="shared" si="10"/>
        <v>47319</v>
      </c>
      <c r="J120" s="40">
        <v>118</v>
      </c>
      <c r="K120" s="41">
        <f t="shared" si="13"/>
        <v>3588</v>
      </c>
      <c r="L120" s="42">
        <f t="shared" si="14"/>
        <v>0</v>
      </c>
      <c r="M120" s="43">
        <f t="shared" si="15"/>
        <v>0</v>
      </c>
      <c r="N120" s="43">
        <f t="shared" si="16"/>
        <v>0</v>
      </c>
      <c r="O120" s="44">
        <f t="shared" si="17"/>
        <v>0</v>
      </c>
    </row>
    <row r="121" spans="1:15" ht="12.75">
      <c r="A121" s="159">
        <v>47350</v>
      </c>
      <c r="B121" s="35">
        <f>IF(DIAS365('CALCULADORA TIV V-1'!$E$6,A121)&lt;0,0,DIAS365('CALCULADORA TIV V-1'!$E$6,A121))</f>
        <v>2402</v>
      </c>
      <c r="C121" s="36">
        <f>+HLOOKUP('CALCULADORA TIV V-1'!$E$4,Tablas!$B$1:$B$181,Flujos!J121+1,FALSE)</f>
        <v>0</v>
      </c>
      <c r="D121" s="76">
        <f t="shared" si="9"/>
        <v>0</v>
      </c>
      <c r="E121" s="37">
        <f t="shared" si="11"/>
        <v>0</v>
      </c>
      <c r="F121" s="37">
        <f>ROUND(D120*ROUND(((1+'CALCULADORA TIV V-1'!$C$14)^(1/12)-1),6),6)</f>
        <v>0</v>
      </c>
      <c r="G121" s="37">
        <f t="shared" si="12"/>
        <v>0</v>
      </c>
      <c r="H121" s="38">
        <f>IF($B121=0,0,G121/POWER(1+'CALCULADORA TIV V-1'!$F$11,Flujos!$B121/365))</f>
        <v>0</v>
      </c>
      <c r="I121" s="39">
        <f t="shared" si="10"/>
        <v>47350</v>
      </c>
      <c r="J121" s="40">
        <v>119</v>
      </c>
      <c r="K121" s="41">
        <f t="shared" si="13"/>
        <v>3619</v>
      </c>
      <c r="L121" s="42">
        <f t="shared" si="14"/>
        <v>0</v>
      </c>
      <c r="M121" s="43">
        <f t="shared" si="15"/>
        <v>0</v>
      </c>
      <c r="N121" s="43">
        <f t="shared" si="16"/>
        <v>0</v>
      </c>
      <c r="O121" s="44">
        <f t="shared" si="17"/>
        <v>0</v>
      </c>
    </row>
    <row r="122" spans="1:15" ht="12.75">
      <c r="A122" s="159">
        <v>47381</v>
      </c>
      <c r="B122" s="35">
        <f>IF(DIAS365('CALCULADORA TIV V-1'!$E$6,A122)&lt;0,0,DIAS365('CALCULADORA TIV V-1'!$E$6,A122))</f>
        <v>2433</v>
      </c>
      <c r="C122" s="36">
        <f>+HLOOKUP('CALCULADORA TIV V-1'!$E$4,Tablas!$B$1:$B$181,Flujos!J122+1,FALSE)</f>
        <v>0</v>
      </c>
      <c r="D122" s="76">
        <f t="shared" si="9"/>
        <v>0</v>
      </c>
      <c r="E122" s="37">
        <f t="shared" si="11"/>
        <v>0</v>
      </c>
      <c r="F122" s="37">
        <f>ROUND(D121*ROUND(((1+'CALCULADORA TIV V-1'!$C$14)^(1/12)-1),6),6)</f>
        <v>0</v>
      </c>
      <c r="G122" s="37">
        <f t="shared" si="12"/>
        <v>0</v>
      </c>
      <c r="H122" s="38">
        <f>IF($B122=0,0,G122/POWER(1+'CALCULADORA TIV V-1'!$F$11,Flujos!$B122/365))</f>
        <v>0</v>
      </c>
      <c r="I122" s="39">
        <f t="shared" si="10"/>
        <v>47381</v>
      </c>
      <c r="J122" s="40">
        <v>120</v>
      </c>
      <c r="K122" s="41">
        <f t="shared" si="13"/>
        <v>3650</v>
      </c>
      <c r="L122" s="42">
        <f t="shared" si="14"/>
        <v>0</v>
      </c>
      <c r="M122" s="43">
        <f t="shared" si="15"/>
        <v>0</v>
      </c>
      <c r="N122" s="43">
        <f t="shared" si="16"/>
        <v>0</v>
      </c>
      <c r="O122" s="44">
        <f t="shared" si="17"/>
        <v>0</v>
      </c>
    </row>
    <row r="123" spans="1:15" ht="12.75">
      <c r="A123" s="159">
        <v>47411</v>
      </c>
      <c r="B123" s="35">
        <f>IF(DIAS365('CALCULADORA TIV V-1'!$E$6,A123)&lt;0,0,DIAS365('CALCULADORA TIV V-1'!$E$6,A123))</f>
        <v>2463</v>
      </c>
      <c r="C123" s="36">
        <f>+HLOOKUP('CALCULADORA TIV V-1'!$E$4,Tablas!$B$1:$B$181,Flujos!J123+1,FALSE)</f>
        <v>0</v>
      </c>
      <c r="D123" s="76">
        <f t="shared" si="9"/>
        <v>0</v>
      </c>
      <c r="E123" s="37">
        <f t="shared" si="11"/>
        <v>0</v>
      </c>
      <c r="F123" s="37">
        <f>ROUND(D122*ROUND(((1+'CALCULADORA TIV V-1'!$C$14)^(1/12)-1),6),6)</f>
        <v>0</v>
      </c>
      <c r="G123" s="37">
        <f t="shared" si="12"/>
        <v>0</v>
      </c>
      <c r="H123" s="38">
        <f>IF($B123=0,0,G123/POWER(1+'CALCULADORA TIV V-1'!$F$11,Flujos!$B123/365))</f>
        <v>0</v>
      </c>
      <c r="I123" s="39">
        <f t="shared" si="10"/>
        <v>47411</v>
      </c>
      <c r="J123" s="40">
        <v>121</v>
      </c>
      <c r="K123" s="41">
        <f t="shared" si="13"/>
        <v>3680</v>
      </c>
      <c r="L123" s="42">
        <f t="shared" si="14"/>
        <v>0</v>
      </c>
      <c r="M123" s="43">
        <f t="shared" si="15"/>
        <v>0</v>
      </c>
      <c r="N123" s="43">
        <f t="shared" si="16"/>
        <v>0</v>
      </c>
      <c r="O123" s="44">
        <f t="shared" si="17"/>
        <v>0</v>
      </c>
    </row>
    <row r="124" spans="1:15" ht="12.75">
      <c r="A124" s="159">
        <v>47442</v>
      </c>
      <c r="B124" s="35">
        <f>IF(DIAS365('CALCULADORA TIV V-1'!$E$6,A124)&lt;0,0,DIAS365('CALCULADORA TIV V-1'!$E$6,A124))</f>
        <v>2494</v>
      </c>
      <c r="C124" s="36">
        <f>+HLOOKUP('CALCULADORA TIV V-1'!$E$4,Tablas!$B$1:$B$181,Flujos!J124+1,FALSE)</f>
        <v>0</v>
      </c>
      <c r="D124" s="76">
        <f t="shared" si="9"/>
        <v>0</v>
      </c>
      <c r="E124" s="37">
        <f t="shared" si="11"/>
        <v>0</v>
      </c>
      <c r="F124" s="37">
        <f>ROUND(D123*ROUND(((1+'CALCULADORA TIV V-1'!$C$14)^(1/12)-1),6),6)</f>
        <v>0</v>
      </c>
      <c r="G124" s="37">
        <f t="shared" si="12"/>
        <v>0</v>
      </c>
      <c r="H124" s="38">
        <f>IF($B124=0,0,G124/POWER(1+'CALCULADORA TIV V-1'!$F$11,Flujos!$B124/365))</f>
        <v>0</v>
      </c>
      <c r="I124" s="39">
        <f t="shared" si="10"/>
        <v>47442</v>
      </c>
      <c r="J124" s="40">
        <v>122</v>
      </c>
      <c r="K124" s="41">
        <f t="shared" si="13"/>
        <v>3711</v>
      </c>
      <c r="L124" s="42">
        <f t="shared" si="14"/>
        <v>0</v>
      </c>
      <c r="M124" s="43">
        <f t="shared" si="15"/>
        <v>0</v>
      </c>
      <c r="N124" s="43">
        <f t="shared" si="16"/>
        <v>0</v>
      </c>
      <c r="O124" s="44">
        <f t="shared" si="17"/>
        <v>0</v>
      </c>
    </row>
    <row r="125" spans="1:15" ht="12.75">
      <c r="A125" s="159">
        <v>47472</v>
      </c>
      <c r="B125" s="35">
        <f>IF(DIAS365('CALCULADORA TIV V-1'!$E$6,A125)&lt;0,0,DIAS365('CALCULADORA TIV V-1'!$E$6,A125))</f>
        <v>2524</v>
      </c>
      <c r="C125" s="36">
        <f>+HLOOKUP('CALCULADORA TIV V-1'!$E$4,Tablas!$B$1:$B$181,Flujos!J125+1,FALSE)</f>
        <v>0</v>
      </c>
      <c r="D125" s="76">
        <f t="shared" si="9"/>
        <v>0</v>
      </c>
      <c r="E125" s="37">
        <f t="shared" si="11"/>
        <v>0</v>
      </c>
      <c r="F125" s="37">
        <f>ROUND(D124*ROUND(((1+'CALCULADORA TIV V-1'!$C$14)^(1/12)-1),6),6)</f>
        <v>0</v>
      </c>
      <c r="G125" s="37">
        <f t="shared" si="12"/>
        <v>0</v>
      </c>
      <c r="H125" s="38">
        <f>IF($B125=0,0,G125/POWER(1+'CALCULADORA TIV V-1'!$F$11,Flujos!$B125/365))</f>
        <v>0</v>
      </c>
      <c r="I125" s="39">
        <f t="shared" si="10"/>
        <v>47472</v>
      </c>
      <c r="J125" s="40">
        <v>123</v>
      </c>
      <c r="K125" s="41">
        <f t="shared" si="13"/>
        <v>3741</v>
      </c>
      <c r="L125" s="42">
        <f t="shared" si="14"/>
        <v>0</v>
      </c>
      <c r="M125" s="43">
        <f t="shared" si="15"/>
        <v>0</v>
      </c>
      <c r="N125" s="43">
        <f t="shared" si="16"/>
        <v>0</v>
      </c>
      <c r="O125" s="44">
        <f t="shared" si="17"/>
        <v>0</v>
      </c>
    </row>
    <row r="126" spans="1:15" ht="12.75">
      <c r="A126" s="159">
        <v>47503</v>
      </c>
      <c r="B126" s="35">
        <f>IF(DIAS365('CALCULADORA TIV V-1'!$E$6,A126)&lt;0,0,DIAS365('CALCULADORA TIV V-1'!$E$6,A126))</f>
        <v>2555</v>
      </c>
      <c r="C126" s="36">
        <f>+HLOOKUP('CALCULADORA TIV V-1'!$E$4,Tablas!$B$1:$B$181,Flujos!J126+1,FALSE)</f>
        <v>0</v>
      </c>
      <c r="D126" s="76">
        <f t="shared" si="9"/>
        <v>0</v>
      </c>
      <c r="E126" s="37">
        <f t="shared" si="11"/>
        <v>0</v>
      </c>
      <c r="F126" s="37">
        <f>ROUND(D125*ROUND(((1+'CALCULADORA TIV V-1'!$C$14)^(1/12)-1),6),6)</f>
        <v>0</v>
      </c>
      <c r="G126" s="37">
        <f t="shared" si="12"/>
        <v>0</v>
      </c>
      <c r="H126" s="38">
        <f>IF($B126=0,0,G126/POWER(1+'CALCULADORA TIV V-1'!$F$11,Flujos!$B126/365))</f>
        <v>0</v>
      </c>
      <c r="I126" s="39">
        <f t="shared" si="10"/>
        <v>47503</v>
      </c>
      <c r="J126" s="40">
        <v>124</v>
      </c>
      <c r="K126" s="41">
        <f t="shared" si="13"/>
        <v>3772</v>
      </c>
      <c r="L126" s="42">
        <f t="shared" si="14"/>
        <v>0</v>
      </c>
      <c r="M126" s="43">
        <f t="shared" si="15"/>
        <v>0</v>
      </c>
      <c r="N126" s="43">
        <f t="shared" si="16"/>
        <v>0</v>
      </c>
      <c r="O126" s="44">
        <f t="shared" si="17"/>
        <v>0</v>
      </c>
    </row>
    <row r="127" spans="1:15" ht="12.75">
      <c r="A127" s="159">
        <v>47534</v>
      </c>
      <c r="B127" s="35">
        <f>IF(DIAS365('CALCULADORA TIV V-1'!$E$6,A127)&lt;0,0,DIAS365('CALCULADORA TIV V-1'!$E$6,A127))</f>
        <v>2586</v>
      </c>
      <c r="C127" s="36">
        <f>+HLOOKUP('CALCULADORA TIV V-1'!$E$4,Tablas!$B$1:$B$181,Flujos!J127+1,FALSE)</f>
        <v>0</v>
      </c>
      <c r="D127" s="76">
        <f t="shared" si="9"/>
        <v>0</v>
      </c>
      <c r="E127" s="37">
        <f t="shared" si="11"/>
        <v>0</v>
      </c>
      <c r="F127" s="37">
        <f>ROUND(D126*ROUND(((1+'CALCULADORA TIV V-1'!$C$14)^(1/12)-1),6),6)</f>
        <v>0</v>
      </c>
      <c r="G127" s="37">
        <f t="shared" si="12"/>
        <v>0</v>
      </c>
      <c r="H127" s="38">
        <f>IF($B127=0,0,G127/POWER(1+'CALCULADORA TIV V-1'!$F$11,Flujos!$B127/365))</f>
        <v>0</v>
      </c>
      <c r="I127" s="39">
        <f t="shared" si="10"/>
        <v>47534</v>
      </c>
      <c r="J127" s="40">
        <v>125</v>
      </c>
      <c r="K127" s="41">
        <f t="shared" si="13"/>
        <v>3803</v>
      </c>
      <c r="L127" s="42">
        <f t="shared" si="14"/>
        <v>0</v>
      </c>
      <c r="M127" s="43">
        <f t="shared" si="15"/>
        <v>0</v>
      </c>
      <c r="N127" s="43">
        <f t="shared" si="16"/>
        <v>0</v>
      </c>
      <c r="O127" s="44">
        <f t="shared" si="17"/>
        <v>0</v>
      </c>
    </row>
    <row r="128" spans="1:15" ht="12.75">
      <c r="A128" s="159">
        <v>47562</v>
      </c>
      <c r="B128" s="35">
        <f>IF(DIAS365('CALCULADORA TIV V-1'!$E$6,A128)&lt;0,0,DIAS365('CALCULADORA TIV V-1'!$E$6,A128))</f>
        <v>2614</v>
      </c>
      <c r="C128" s="36">
        <f>+HLOOKUP('CALCULADORA TIV V-1'!$E$4,Tablas!$B$1:$B$181,Flujos!J128+1,FALSE)</f>
        <v>0</v>
      </c>
      <c r="D128" s="76">
        <f t="shared" si="9"/>
        <v>0</v>
      </c>
      <c r="E128" s="37">
        <f t="shared" si="11"/>
        <v>0</v>
      </c>
      <c r="F128" s="37">
        <f>ROUND(D127*ROUND(((1+'CALCULADORA TIV V-1'!$C$14)^(1/12)-1),6),6)</f>
        <v>0</v>
      </c>
      <c r="G128" s="37">
        <f t="shared" si="12"/>
        <v>0</v>
      </c>
      <c r="H128" s="38">
        <f>IF($B128=0,0,G128/POWER(1+'CALCULADORA TIV V-1'!$F$11,Flujos!$B128/365))</f>
        <v>0</v>
      </c>
      <c r="I128" s="39">
        <f t="shared" si="10"/>
        <v>47562</v>
      </c>
      <c r="J128" s="40">
        <v>126</v>
      </c>
      <c r="K128" s="41">
        <f t="shared" si="13"/>
        <v>3831</v>
      </c>
      <c r="L128" s="42">
        <f t="shared" si="14"/>
        <v>0</v>
      </c>
      <c r="M128" s="43">
        <f t="shared" si="15"/>
        <v>0</v>
      </c>
      <c r="N128" s="43">
        <f t="shared" si="16"/>
        <v>0</v>
      </c>
      <c r="O128" s="44">
        <f t="shared" si="17"/>
        <v>0</v>
      </c>
    </row>
    <row r="129" spans="1:15" ht="12.75">
      <c r="A129" s="159">
        <v>47593</v>
      </c>
      <c r="B129" s="35">
        <f>IF(DIAS365('CALCULADORA TIV V-1'!$E$6,A129)&lt;0,0,DIAS365('CALCULADORA TIV V-1'!$E$6,A129))</f>
        <v>2645</v>
      </c>
      <c r="C129" s="36">
        <f>+HLOOKUP('CALCULADORA TIV V-1'!$E$4,Tablas!$B$1:$B$181,Flujos!J129+1,FALSE)</f>
        <v>0</v>
      </c>
      <c r="D129" s="76">
        <f t="shared" si="9"/>
        <v>0</v>
      </c>
      <c r="E129" s="37">
        <f t="shared" si="11"/>
        <v>0</v>
      </c>
      <c r="F129" s="37">
        <f>ROUND(D128*ROUND(((1+'CALCULADORA TIV V-1'!$C$14)^(1/12)-1),6),6)</f>
        <v>0</v>
      </c>
      <c r="G129" s="37">
        <f t="shared" si="12"/>
        <v>0</v>
      </c>
      <c r="H129" s="38">
        <f>IF($B129=0,0,G129/POWER(1+'CALCULADORA TIV V-1'!$F$11,Flujos!$B129/365))</f>
        <v>0</v>
      </c>
      <c r="I129" s="39">
        <f t="shared" si="10"/>
        <v>47593</v>
      </c>
      <c r="J129" s="40">
        <v>127</v>
      </c>
      <c r="K129" s="41">
        <f t="shared" si="13"/>
        <v>3862</v>
      </c>
      <c r="L129" s="42">
        <f t="shared" si="14"/>
        <v>0</v>
      </c>
      <c r="M129" s="43">
        <f t="shared" si="15"/>
        <v>0</v>
      </c>
      <c r="N129" s="43">
        <f t="shared" si="16"/>
        <v>0</v>
      </c>
      <c r="O129" s="44">
        <f t="shared" si="17"/>
        <v>0</v>
      </c>
    </row>
    <row r="130" spans="1:15" ht="12.75">
      <c r="A130" s="159">
        <v>47623</v>
      </c>
      <c r="B130" s="35">
        <f>IF(DIAS365('CALCULADORA TIV V-1'!$E$6,A130)&lt;0,0,DIAS365('CALCULADORA TIV V-1'!$E$6,A130))</f>
        <v>2675</v>
      </c>
      <c r="C130" s="36">
        <f>+HLOOKUP('CALCULADORA TIV V-1'!$E$4,Tablas!$B$1:$B$181,Flujos!J130+1,FALSE)</f>
        <v>0</v>
      </c>
      <c r="D130" s="76">
        <f t="shared" si="9"/>
        <v>0</v>
      </c>
      <c r="E130" s="37">
        <f t="shared" si="11"/>
        <v>0</v>
      </c>
      <c r="F130" s="37">
        <f>ROUND(D129*ROUND(((1+'CALCULADORA TIV V-1'!$C$14)^(1/12)-1),6),6)</f>
        <v>0</v>
      </c>
      <c r="G130" s="37">
        <f t="shared" si="12"/>
        <v>0</v>
      </c>
      <c r="H130" s="38">
        <f>IF($B130=0,0,G130/POWER(1+'CALCULADORA TIV V-1'!$F$11,Flujos!$B130/365))</f>
        <v>0</v>
      </c>
      <c r="I130" s="39">
        <f t="shared" si="10"/>
        <v>47623</v>
      </c>
      <c r="J130" s="40">
        <v>128</v>
      </c>
      <c r="K130" s="41">
        <f t="shared" si="13"/>
        <v>3892</v>
      </c>
      <c r="L130" s="42">
        <f t="shared" si="14"/>
        <v>0</v>
      </c>
      <c r="M130" s="43">
        <f t="shared" si="15"/>
        <v>0</v>
      </c>
      <c r="N130" s="43">
        <f t="shared" si="16"/>
        <v>0</v>
      </c>
      <c r="O130" s="44">
        <f t="shared" si="17"/>
        <v>0</v>
      </c>
    </row>
    <row r="131" spans="1:15" ht="12.75">
      <c r="A131" s="159">
        <v>47654</v>
      </c>
      <c r="B131" s="35">
        <f>IF(DIAS365('CALCULADORA TIV V-1'!$E$6,A131)&lt;0,0,DIAS365('CALCULADORA TIV V-1'!$E$6,A131))</f>
        <v>2706</v>
      </c>
      <c r="C131" s="36">
        <f>+HLOOKUP('CALCULADORA TIV V-1'!$E$4,Tablas!$B$1:$B$181,Flujos!J131+1,FALSE)</f>
        <v>0</v>
      </c>
      <c r="D131" s="76">
        <f aca="true" t="shared" si="18" ref="D131:D182">IF(+ROUND(D130-E131,15)&lt;0.000001,0,ROUND(D130-E131,15))</f>
        <v>0</v>
      </c>
      <c r="E131" s="37">
        <f t="shared" si="11"/>
        <v>0</v>
      </c>
      <c r="F131" s="37">
        <f>ROUND(D130*ROUND(((1+'CALCULADORA TIV V-1'!$C$14)^(1/12)-1),6),6)</f>
        <v>0</v>
      </c>
      <c r="G131" s="37">
        <f t="shared" si="12"/>
        <v>0</v>
      </c>
      <c r="H131" s="38">
        <f>IF($B131=0,0,G131/POWER(1+'CALCULADORA TIV V-1'!$F$11,Flujos!$B131/365))</f>
        <v>0</v>
      </c>
      <c r="I131" s="39">
        <f aca="true" t="shared" si="19" ref="I131:I182">+A131</f>
        <v>47654</v>
      </c>
      <c r="J131" s="40">
        <v>129</v>
      </c>
      <c r="K131" s="41">
        <f t="shared" si="13"/>
        <v>3923</v>
      </c>
      <c r="L131" s="42">
        <f t="shared" si="14"/>
        <v>0</v>
      </c>
      <c r="M131" s="43">
        <f t="shared" si="15"/>
        <v>0</v>
      </c>
      <c r="N131" s="43">
        <f t="shared" si="16"/>
        <v>0</v>
      </c>
      <c r="O131" s="44">
        <f t="shared" si="17"/>
        <v>0</v>
      </c>
    </row>
    <row r="132" spans="1:15" ht="12.75">
      <c r="A132" s="159">
        <v>47684</v>
      </c>
      <c r="B132" s="35">
        <f>IF(DIAS365('CALCULADORA TIV V-1'!$E$6,A132)&lt;0,0,DIAS365('CALCULADORA TIV V-1'!$E$6,A132))</f>
        <v>2736</v>
      </c>
      <c r="C132" s="36">
        <f>+HLOOKUP('CALCULADORA TIV V-1'!$E$4,Tablas!$B$1:$B$181,Flujos!J132+1,FALSE)</f>
        <v>0</v>
      </c>
      <c r="D132" s="76">
        <f t="shared" si="18"/>
        <v>0</v>
      </c>
      <c r="E132" s="37">
        <f aca="true" t="shared" si="20" ref="E132:E182">ROUND(C132*$D$2,6)</f>
        <v>0</v>
      </c>
      <c r="F132" s="37">
        <f>ROUND(D131*ROUND(((1+'CALCULADORA TIV V-1'!$C$14)^(1/12)-1),6),6)</f>
        <v>0</v>
      </c>
      <c r="G132" s="37">
        <f aca="true" t="shared" si="21" ref="G132:G182">F132+E132</f>
        <v>0</v>
      </c>
      <c r="H132" s="38">
        <f>IF($B132=0,0,G132/POWER(1+'CALCULADORA TIV V-1'!$F$11,Flujos!$B132/365))</f>
        <v>0</v>
      </c>
      <c r="I132" s="39">
        <f t="shared" si="19"/>
        <v>47684</v>
      </c>
      <c r="J132" s="40">
        <v>130</v>
      </c>
      <c r="K132" s="41">
        <f aca="true" t="shared" si="22" ref="K132:K182">+DIAS365($A$2,A132)</f>
        <v>3953</v>
      </c>
      <c r="L132" s="42">
        <f aca="true" t="shared" si="23" ref="L132:L182">IF(+(L131-M132)&lt;0,0,(L131-M132))</f>
        <v>0</v>
      </c>
      <c r="M132" s="43">
        <f aca="true" t="shared" si="24" ref="M132:M182">+$L$2*C132</f>
        <v>0</v>
      </c>
      <c r="N132" s="43">
        <f aca="true" t="shared" si="25" ref="N132:N182">+L131*$F$3%</f>
        <v>0</v>
      </c>
      <c r="O132" s="44">
        <f aca="true" t="shared" si="26" ref="O132:O182">+N132+M132</f>
        <v>0</v>
      </c>
    </row>
    <row r="133" spans="1:15" ht="12.75">
      <c r="A133" s="159">
        <v>47715</v>
      </c>
      <c r="B133" s="35">
        <f>IF(DIAS365('CALCULADORA TIV V-1'!$E$6,A133)&lt;0,0,DIAS365('CALCULADORA TIV V-1'!$E$6,A133))</f>
        <v>2767</v>
      </c>
      <c r="C133" s="36">
        <f>+HLOOKUP('CALCULADORA TIV V-1'!$E$4,Tablas!$B$1:$B$181,Flujos!J133+1,FALSE)</f>
        <v>0</v>
      </c>
      <c r="D133" s="76">
        <f t="shared" si="18"/>
        <v>0</v>
      </c>
      <c r="E133" s="37">
        <f t="shared" si="20"/>
        <v>0</v>
      </c>
      <c r="F133" s="37">
        <f>ROUND(D132*ROUND(((1+'CALCULADORA TIV V-1'!$C$14)^(1/12)-1),6),6)</f>
        <v>0</v>
      </c>
      <c r="G133" s="37">
        <f t="shared" si="21"/>
        <v>0</v>
      </c>
      <c r="H133" s="38">
        <f>IF($B133=0,0,G133/POWER(1+'CALCULADORA TIV V-1'!$F$11,Flujos!$B133/365))</f>
        <v>0</v>
      </c>
      <c r="I133" s="39">
        <f t="shared" si="19"/>
        <v>47715</v>
      </c>
      <c r="J133" s="40">
        <v>131</v>
      </c>
      <c r="K133" s="41">
        <f t="shared" si="22"/>
        <v>3984</v>
      </c>
      <c r="L133" s="42">
        <f t="shared" si="23"/>
        <v>0</v>
      </c>
      <c r="M133" s="43">
        <f t="shared" si="24"/>
        <v>0</v>
      </c>
      <c r="N133" s="43">
        <f t="shared" si="25"/>
        <v>0</v>
      </c>
      <c r="O133" s="44">
        <f t="shared" si="26"/>
        <v>0</v>
      </c>
    </row>
    <row r="134" spans="1:15" ht="12.75">
      <c r="A134" s="159">
        <v>47746</v>
      </c>
      <c r="B134" s="35">
        <f>IF(DIAS365('CALCULADORA TIV V-1'!$E$6,A134)&lt;0,0,DIAS365('CALCULADORA TIV V-1'!$E$6,A134))</f>
        <v>2798</v>
      </c>
      <c r="C134" s="36">
        <f>+HLOOKUP('CALCULADORA TIV V-1'!$E$4,Tablas!$B$1:$B$181,Flujos!J134+1,FALSE)</f>
        <v>0</v>
      </c>
      <c r="D134" s="76">
        <f t="shared" si="18"/>
        <v>0</v>
      </c>
      <c r="E134" s="37">
        <f t="shared" si="20"/>
        <v>0</v>
      </c>
      <c r="F134" s="37">
        <f>ROUND(D133*ROUND(((1+'CALCULADORA TIV V-1'!$C$14)^(1/12)-1),6),6)</f>
        <v>0</v>
      </c>
      <c r="G134" s="37">
        <f t="shared" si="21"/>
        <v>0</v>
      </c>
      <c r="H134" s="38">
        <f>IF($B134=0,0,G134/POWER(1+'CALCULADORA TIV V-1'!$F$11,Flujos!$B134/365))</f>
        <v>0</v>
      </c>
      <c r="I134" s="39">
        <f t="shared" si="19"/>
        <v>47746</v>
      </c>
      <c r="J134" s="40">
        <v>132</v>
      </c>
      <c r="K134" s="41">
        <f t="shared" si="22"/>
        <v>4015</v>
      </c>
      <c r="L134" s="42">
        <f t="shared" si="23"/>
        <v>0</v>
      </c>
      <c r="M134" s="43">
        <f t="shared" si="24"/>
        <v>0</v>
      </c>
      <c r="N134" s="43">
        <f t="shared" si="25"/>
        <v>0</v>
      </c>
      <c r="O134" s="44">
        <f t="shared" si="26"/>
        <v>0</v>
      </c>
    </row>
    <row r="135" spans="1:15" ht="12.75">
      <c r="A135" s="159">
        <v>47776</v>
      </c>
      <c r="B135" s="35">
        <f>IF(DIAS365('CALCULADORA TIV V-1'!$E$6,A135)&lt;0,0,DIAS365('CALCULADORA TIV V-1'!$E$6,A135))</f>
        <v>2828</v>
      </c>
      <c r="C135" s="36">
        <f>+HLOOKUP('CALCULADORA TIV V-1'!$E$4,Tablas!$B$1:$B$181,Flujos!J135+1,FALSE)</f>
        <v>0</v>
      </c>
      <c r="D135" s="76">
        <f t="shared" si="18"/>
        <v>0</v>
      </c>
      <c r="E135" s="37">
        <f t="shared" si="20"/>
        <v>0</v>
      </c>
      <c r="F135" s="37">
        <f>ROUND(D134*ROUND(((1+'CALCULADORA TIV V-1'!$C$14)^(1/12)-1),6),6)</f>
        <v>0</v>
      </c>
      <c r="G135" s="37">
        <f t="shared" si="21"/>
        <v>0</v>
      </c>
      <c r="H135" s="38">
        <f>IF($B135=0,0,G135/POWER(1+'CALCULADORA TIV V-1'!$F$11,Flujos!$B135/365))</f>
        <v>0</v>
      </c>
      <c r="I135" s="39">
        <f t="shared" si="19"/>
        <v>47776</v>
      </c>
      <c r="J135" s="40">
        <v>133</v>
      </c>
      <c r="K135" s="41">
        <f t="shared" si="22"/>
        <v>4045</v>
      </c>
      <c r="L135" s="42">
        <f t="shared" si="23"/>
        <v>0</v>
      </c>
      <c r="M135" s="43">
        <f t="shared" si="24"/>
        <v>0</v>
      </c>
      <c r="N135" s="43">
        <f t="shared" si="25"/>
        <v>0</v>
      </c>
      <c r="O135" s="44">
        <f t="shared" si="26"/>
        <v>0</v>
      </c>
    </row>
    <row r="136" spans="1:15" ht="12.75">
      <c r="A136" s="159">
        <v>47807</v>
      </c>
      <c r="B136" s="35">
        <f>IF(DIAS365('CALCULADORA TIV V-1'!$E$6,A136)&lt;0,0,DIAS365('CALCULADORA TIV V-1'!$E$6,A136))</f>
        <v>2859</v>
      </c>
      <c r="C136" s="36">
        <f>+HLOOKUP('CALCULADORA TIV V-1'!$E$4,Tablas!$B$1:$B$181,Flujos!J136+1,FALSE)</f>
        <v>0</v>
      </c>
      <c r="D136" s="76">
        <f t="shared" si="18"/>
        <v>0</v>
      </c>
      <c r="E136" s="37">
        <f t="shared" si="20"/>
        <v>0</v>
      </c>
      <c r="F136" s="37">
        <f>ROUND(D135*ROUND(((1+'CALCULADORA TIV V-1'!$C$14)^(1/12)-1),6),6)</f>
        <v>0</v>
      </c>
      <c r="G136" s="37">
        <f t="shared" si="21"/>
        <v>0</v>
      </c>
      <c r="H136" s="38">
        <f>IF($B136=0,0,G136/POWER(1+'CALCULADORA TIV V-1'!$F$11,Flujos!$B136/365))</f>
        <v>0</v>
      </c>
      <c r="I136" s="39">
        <f t="shared" si="19"/>
        <v>47807</v>
      </c>
      <c r="J136" s="40">
        <v>134</v>
      </c>
      <c r="K136" s="41">
        <f t="shared" si="22"/>
        <v>4076</v>
      </c>
      <c r="L136" s="42">
        <f t="shared" si="23"/>
        <v>0</v>
      </c>
      <c r="M136" s="43">
        <f t="shared" si="24"/>
        <v>0</v>
      </c>
      <c r="N136" s="43">
        <f t="shared" si="25"/>
        <v>0</v>
      </c>
      <c r="O136" s="44">
        <f t="shared" si="26"/>
        <v>0</v>
      </c>
    </row>
    <row r="137" spans="1:15" ht="12.75">
      <c r="A137" s="159">
        <v>47837</v>
      </c>
      <c r="B137" s="35">
        <f>IF(DIAS365('CALCULADORA TIV V-1'!$E$6,A137)&lt;0,0,DIAS365('CALCULADORA TIV V-1'!$E$6,A137))</f>
        <v>2889</v>
      </c>
      <c r="C137" s="36">
        <f>+HLOOKUP('CALCULADORA TIV V-1'!$E$4,Tablas!$B$1:$B$181,Flujos!J137+1,FALSE)</f>
        <v>0</v>
      </c>
      <c r="D137" s="76">
        <f t="shared" si="18"/>
        <v>0</v>
      </c>
      <c r="E137" s="37">
        <f t="shared" si="20"/>
        <v>0</v>
      </c>
      <c r="F137" s="37">
        <f>ROUND(D136*ROUND(((1+'CALCULADORA TIV V-1'!$C$14)^(1/12)-1),6),6)</f>
        <v>0</v>
      </c>
      <c r="G137" s="37">
        <f t="shared" si="21"/>
        <v>0</v>
      </c>
      <c r="H137" s="38">
        <f>IF($B137=0,0,G137/POWER(1+'CALCULADORA TIV V-1'!$F$11,Flujos!$B137/365))</f>
        <v>0</v>
      </c>
      <c r="I137" s="39">
        <f t="shared" si="19"/>
        <v>47837</v>
      </c>
      <c r="J137" s="40">
        <v>135</v>
      </c>
      <c r="K137" s="41">
        <f t="shared" si="22"/>
        <v>4106</v>
      </c>
      <c r="L137" s="42">
        <f t="shared" si="23"/>
        <v>0</v>
      </c>
      <c r="M137" s="43">
        <f t="shared" si="24"/>
        <v>0</v>
      </c>
      <c r="N137" s="43">
        <f t="shared" si="25"/>
        <v>0</v>
      </c>
      <c r="O137" s="44">
        <f t="shared" si="26"/>
        <v>0</v>
      </c>
    </row>
    <row r="138" spans="1:15" ht="12.75">
      <c r="A138" s="159">
        <v>47868</v>
      </c>
      <c r="B138" s="35">
        <f>IF(DIAS365('CALCULADORA TIV V-1'!$E$6,A138)&lt;0,0,DIAS365('CALCULADORA TIV V-1'!$E$6,A138))</f>
        <v>2920</v>
      </c>
      <c r="C138" s="36">
        <f>+HLOOKUP('CALCULADORA TIV V-1'!$E$4,Tablas!$B$1:$B$181,Flujos!J138+1,FALSE)</f>
        <v>0</v>
      </c>
      <c r="D138" s="76">
        <f t="shared" si="18"/>
        <v>0</v>
      </c>
      <c r="E138" s="37">
        <f t="shared" si="20"/>
        <v>0</v>
      </c>
      <c r="F138" s="37">
        <f>ROUND(D137*ROUND(((1+'CALCULADORA TIV V-1'!$C$14)^(1/12)-1),6),6)</f>
        <v>0</v>
      </c>
      <c r="G138" s="37">
        <f t="shared" si="21"/>
        <v>0</v>
      </c>
      <c r="H138" s="38">
        <f>IF($B138=0,0,G138/POWER(1+'CALCULADORA TIV V-1'!$F$11,Flujos!$B138/365))</f>
        <v>0</v>
      </c>
      <c r="I138" s="39">
        <f t="shared" si="19"/>
        <v>47868</v>
      </c>
      <c r="J138" s="40">
        <v>136</v>
      </c>
      <c r="K138" s="41">
        <f t="shared" si="22"/>
        <v>4137</v>
      </c>
      <c r="L138" s="42">
        <f t="shared" si="23"/>
        <v>0</v>
      </c>
      <c r="M138" s="43">
        <f t="shared" si="24"/>
        <v>0</v>
      </c>
      <c r="N138" s="43">
        <f t="shared" si="25"/>
        <v>0</v>
      </c>
      <c r="O138" s="44">
        <f t="shared" si="26"/>
        <v>0</v>
      </c>
    </row>
    <row r="139" spans="1:15" ht="12.75">
      <c r="A139" s="159">
        <v>47899</v>
      </c>
      <c r="B139" s="35">
        <f>IF(DIAS365('CALCULADORA TIV V-1'!$E$6,A139)&lt;0,0,DIAS365('CALCULADORA TIV V-1'!$E$6,A139))</f>
        <v>2951</v>
      </c>
      <c r="C139" s="36">
        <f>+HLOOKUP('CALCULADORA TIV V-1'!$E$4,Tablas!$B$1:$B$181,Flujos!J139+1,FALSE)</f>
        <v>0</v>
      </c>
      <c r="D139" s="76">
        <f t="shared" si="18"/>
        <v>0</v>
      </c>
      <c r="E139" s="37">
        <f t="shared" si="20"/>
        <v>0</v>
      </c>
      <c r="F139" s="37">
        <f>ROUND(D138*ROUND(((1+'CALCULADORA TIV V-1'!$C$14)^(1/12)-1),6),6)</f>
        <v>0</v>
      </c>
      <c r="G139" s="37">
        <f t="shared" si="21"/>
        <v>0</v>
      </c>
      <c r="H139" s="38">
        <f>IF($B139=0,0,G139/POWER(1+'CALCULADORA TIV V-1'!$F$11,Flujos!$B139/365))</f>
        <v>0</v>
      </c>
      <c r="I139" s="39">
        <f t="shared" si="19"/>
        <v>47899</v>
      </c>
      <c r="J139" s="40">
        <v>137</v>
      </c>
      <c r="K139" s="41">
        <f t="shared" si="22"/>
        <v>4168</v>
      </c>
      <c r="L139" s="42">
        <f t="shared" si="23"/>
        <v>0</v>
      </c>
      <c r="M139" s="43">
        <f t="shared" si="24"/>
        <v>0</v>
      </c>
      <c r="N139" s="43">
        <f t="shared" si="25"/>
        <v>0</v>
      </c>
      <c r="O139" s="44">
        <f t="shared" si="26"/>
        <v>0</v>
      </c>
    </row>
    <row r="140" spans="1:15" ht="12.75">
      <c r="A140" s="159">
        <v>47927</v>
      </c>
      <c r="B140" s="35">
        <f>IF(DIAS365('CALCULADORA TIV V-1'!$E$6,A140)&lt;0,0,DIAS365('CALCULADORA TIV V-1'!$E$6,A140))</f>
        <v>2979</v>
      </c>
      <c r="C140" s="36">
        <f>+HLOOKUP('CALCULADORA TIV V-1'!$E$4,Tablas!$B$1:$B$181,Flujos!J140+1,FALSE)</f>
        <v>0</v>
      </c>
      <c r="D140" s="76">
        <f t="shared" si="18"/>
        <v>0</v>
      </c>
      <c r="E140" s="37">
        <f t="shared" si="20"/>
        <v>0</v>
      </c>
      <c r="F140" s="37">
        <f>ROUND(D139*ROUND(((1+'CALCULADORA TIV V-1'!$C$14)^(1/12)-1),6),6)</f>
        <v>0</v>
      </c>
      <c r="G140" s="37">
        <f t="shared" si="21"/>
        <v>0</v>
      </c>
      <c r="H140" s="38">
        <f>IF($B140=0,0,G140/POWER(1+'CALCULADORA TIV V-1'!$F$11,Flujos!$B140/365))</f>
        <v>0</v>
      </c>
      <c r="I140" s="39">
        <f t="shared" si="19"/>
        <v>47927</v>
      </c>
      <c r="J140" s="40">
        <v>138</v>
      </c>
      <c r="K140" s="41">
        <f t="shared" si="22"/>
        <v>4196</v>
      </c>
      <c r="L140" s="42">
        <f t="shared" si="23"/>
        <v>0</v>
      </c>
      <c r="M140" s="43">
        <f t="shared" si="24"/>
        <v>0</v>
      </c>
      <c r="N140" s="43">
        <f t="shared" si="25"/>
        <v>0</v>
      </c>
      <c r="O140" s="44">
        <f t="shared" si="26"/>
        <v>0</v>
      </c>
    </row>
    <row r="141" spans="1:15" ht="12.75">
      <c r="A141" s="159">
        <v>47958</v>
      </c>
      <c r="B141" s="35">
        <f>IF(DIAS365('CALCULADORA TIV V-1'!$E$6,A141)&lt;0,0,DIAS365('CALCULADORA TIV V-1'!$E$6,A141))</f>
        <v>3010</v>
      </c>
      <c r="C141" s="36">
        <f>+HLOOKUP('CALCULADORA TIV V-1'!$E$4,Tablas!$B$1:$B$181,Flujos!J141+1,FALSE)</f>
        <v>0</v>
      </c>
      <c r="D141" s="76">
        <f t="shared" si="18"/>
        <v>0</v>
      </c>
      <c r="E141" s="37">
        <f t="shared" si="20"/>
        <v>0</v>
      </c>
      <c r="F141" s="37">
        <f>ROUND(D140*ROUND(((1+'CALCULADORA TIV V-1'!$C$14)^(1/12)-1),6),6)</f>
        <v>0</v>
      </c>
      <c r="G141" s="37">
        <f t="shared" si="21"/>
        <v>0</v>
      </c>
      <c r="H141" s="38">
        <f>IF($B141=0,0,G141/POWER(1+'CALCULADORA TIV V-1'!$F$11,Flujos!$B141/365))</f>
        <v>0</v>
      </c>
      <c r="I141" s="39">
        <f t="shared" si="19"/>
        <v>47958</v>
      </c>
      <c r="J141" s="40">
        <v>139</v>
      </c>
      <c r="K141" s="41">
        <f t="shared" si="22"/>
        <v>4227</v>
      </c>
      <c r="L141" s="42">
        <f t="shared" si="23"/>
        <v>0</v>
      </c>
      <c r="M141" s="43">
        <f t="shared" si="24"/>
        <v>0</v>
      </c>
      <c r="N141" s="43">
        <f t="shared" si="25"/>
        <v>0</v>
      </c>
      <c r="O141" s="44">
        <f t="shared" si="26"/>
        <v>0</v>
      </c>
    </row>
    <row r="142" spans="1:15" ht="12.75">
      <c r="A142" s="159">
        <v>47988</v>
      </c>
      <c r="B142" s="35">
        <f>IF(DIAS365('CALCULADORA TIV V-1'!$E$6,A142)&lt;0,0,DIAS365('CALCULADORA TIV V-1'!$E$6,A142))</f>
        <v>3040</v>
      </c>
      <c r="C142" s="36">
        <f>+HLOOKUP('CALCULADORA TIV V-1'!$E$4,Tablas!$B$1:$B$181,Flujos!J142+1,FALSE)</f>
        <v>0</v>
      </c>
      <c r="D142" s="76">
        <f t="shared" si="18"/>
        <v>0</v>
      </c>
      <c r="E142" s="37">
        <f t="shared" si="20"/>
        <v>0</v>
      </c>
      <c r="F142" s="37">
        <f>ROUND(D141*ROUND(((1+'CALCULADORA TIV V-1'!$C$14)^(1/12)-1),6),6)</f>
        <v>0</v>
      </c>
      <c r="G142" s="37">
        <f t="shared" si="21"/>
        <v>0</v>
      </c>
      <c r="H142" s="38">
        <f>IF($B142=0,0,G142/POWER(1+'CALCULADORA TIV V-1'!$F$11,Flujos!$B142/365))</f>
        <v>0</v>
      </c>
      <c r="I142" s="39">
        <f t="shared" si="19"/>
        <v>47988</v>
      </c>
      <c r="J142" s="40">
        <v>140</v>
      </c>
      <c r="K142" s="41">
        <f t="shared" si="22"/>
        <v>4257</v>
      </c>
      <c r="L142" s="42">
        <f t="shared" si="23"/>
        <v>0</v>
      </c>
      <c r="M142" s="43">
        <f t="shared" si="24"/>
        <v>0</v>
      </c>
      <c r="N142" s="43">
        <f t="shared" si="25"/>
        <v>0</v>
      </c>
      <c r="O142" s="44">
        <f t="shared" si="26"/>
        <v>0</v>
      </c>
    </row>
    <row r="143" spans="1:15" ht="12.75">
      <c r="A143" s="159">
        <v>48019</v>
      </c>
      <c r="B143" s="35">
        <f>IF(DIAS365('CALCULADORA TIV V-1'!$E$6,A143)&lt;0,0,DIAS365('CALCULADORA TIV V-1'!$E$6,A143))</f>
        <v>3071</v>
      </c>
      <c r="C143" s="36">
        <f>+HLOOKUP('CALCULADORA TIV V-1'!$E$4,Tablas!$B$1:$B$181,Flujos!J143+1,FALSE)</f>
        <v>0</v>
      </c>
      <c r="D143" s="76">
        <f t="shared" si="18"/>
        <v>0</v>
      </c>
      <c r="E143" s="37">
        <f t="shared" si="20"/>
        <v>0</v>
      </c>
      <c r="F143" s="37">
        <f>ROUND(D142*ROUND(((1+'CALCULADORA TIV V-1'!$C$14)^(1/12)-1),6),6)</f>
        <v>0</v>
      </c>
      <c r="G143" s="37">
        <f t="shared" si="21"/>
        <v>0</v>
      </c>
      <c r="H143" s="38">
        <f>IF($B143=0,0,G143/POWER(1+'CALCULADORA TIV V-1'!$F$11,Flujos!$B143/365))</f>
        <v>0</v>
      </c>
      <c r="I143" s="39">
        <f t="shared" si="19"/>
        <v>48019</v>
      </c>
      <c r="J143" s="40">
        <v>141</v>
      </c>
      <c r="K143" s="41">
        <f t="shared" si="22"/>
        <v>4288</v>
      </c>
      <c r="L143" s="42">
        <f t="shared" si="23"/>
        <v>0</v>
      </c>
      <c r="M143" s="43">
        <f t="shared" si="24"/>
        <v>0</v>
      </c>
      <c r="N143" s="43">
        <f t="shared" si="25"/>
        <v>0</v>
      </c>
      <c r="O143" s="44">
        <f t="shared" si="26"/>
        <v>0</v>
      </c>
    </row>
    <row r="144" spans="1:15" ht="12.75">
      <c r="A144" s="159">
        <v>48049</v>
      </c>
      <c r="B144" s="35">
        <f>IF(DIAS365('CALCULADORA TIV V-1'!$E$6,A144)&lt;0,0,DIAS365('CALCULADORA TIV V-1'!$E$6,A144))</f>
        <v>3101</v>
      </c>
      <c r="C144" s="36">
        <f>+HLOOKUP('CALCULADORA TIV V-1'!$E$4,Tablas!$B$1:$B$181,Flujos!J144+1,FALSE)</f>
        <v>0</v>
      </c>
      <c r="D144" s="76">
        <f t="shared" si="18"/>
        <v>0</v>
      </c>
      <c r="E144" s="37">
        <f t="shared" si="20"/>
        <v>0</v>
      </c>
      <c r="F144" s="37">
        <f>ROUND(D143*ROUND(((1+'CALCULADORA TIV V-1'!$C$14)^(1/12)-1),6),6)</f>
        <v>0</v>
      </c>
      <c r="G144" s="37">
        <f t="shared" si="21"/>
        <v>0</v>
      </c>
      <c r="H144" s="38">
        <f>IF($B144=0,0,G144/POWER(1+'CALCULADORA TIV V-1'!$F$11,Flujos!$B144/365))</f>
        <v>0</v>
      </c>
      <c r="I144" s="39">
        <f t="shared" si="19"/>
        <v>48049</v>
      </c>
      <c r="J144" s="40">
        <v>142</v>
      </c>
      <c r="K144" s="41">
        <f t="shared" si="22"/>
        <v>4318</v>
      </c>
      <c r="L144" s="42">
        <f t="shared" si="23"/>
        <v>0</v>
      </c>
      <c r="M144" s="43">
        <f t="shared" si="24"/>
        <v>0</v>
      </c>
      <c r="N144" s="43">
        <f t="shared" si="25"/>
        <v>0</v>
      </c>
      <c r="O144" s="44">
        <f t="shared" si="26"/>
        <v>0</v>
      </c>
    </row>
    <row r="145" spans="1:15" ht="12.75">
      <c r="A145" s="159">
        <v>48080</v>
      </c>
      <c r="B145" s="35">
        <f>IF(DIAS365('CALCULADORA TIV V-1'!$E$6,A145)&lt;0,0,DIAS365('CALCULADORA TIV V-1'!$E$6,A145))</f>
        <v>3132</v>
      </c>
      <c r="C145" s="36">
        <f>+HLOOKUP('CALCULADORA TIV V-1'!$E$4,Tablas!$B$1:$B$181,Flujos!J145+1,FALSE)</f>
        <v>0</v>
      </c>
      <c r="D145" s="76">
        <f t="shared" si="18"/>
        <v>0</v>
      </c>
      <c r="E145" s="37">
        <f t="shared" si="20"/>
        <v>0</v>
      </c>
      <c r="F145" s="37">
        <f>ROUND(D144*ROUND(((1+'CALCULADORA TIV V-1'!$C$14)^(1/12)-1),6),6)</f>
        <v>0</v>
      </c>
      <c r="G145" s="37">
        <f t="shared" si="21"/>
        <v>0</v>
      </c>
      <c r="H145" s="38">
        <f>IF($B145=0,0,G145/POWER(1+'CALCULADORA TIV V-1'!$F$11,Flujos!$B145/365))</f>
        <v>0</v>
      </c>
      <c r="I145" s="39">
        <f t="shared" si="19"/>
        <v>48080</v>
      </c>
      <c r="J145" s="40">
        <v>143</v>
      </c>
      <c r="K145" s="41">
        <f t="shared" si="22"/>
        <v>4349</v>
      </c>
      <c r="L145" s="42">
        <f t="shared" si="23"/>
        <v>0</v>
      </c>
      <c r="M145" s="43">
        <f t="shared" si="24"/>
        <v>0</v>
      </c>
      <c r="N145" s="43">
        <f t="shared" si="25"/>
        <v>0</v>
      </c>
      <c r="O145" s="44">
        <f t="shared" si="26"/>
        <v>0</v>
      </c>
    </row>
    <row r="146" spans="1:15" ht="12.75">
      <c r="A146" s="159">
        <v>48111</v>
      </c>
      <c r="B146" s="35">
        <f>IF(DIAS365('CALCULADORA TIV V-1'!$E$6,A146)&lt;0,0,DIAS365('CALCULADORA TIV V-1'!$E$6,A146))</f>
        <v>3163</v>
      </c>
      <c r="C146" s="36">
        <f>+HLOOKUP('CALCULADORA TIV V-1'!$E$4,Tablas!$B$1:$B$181,Flujos!J146+1,FALSE)</f>
        <v>0</v>
      </c>
      <c r="D146" s="76">
        <f t="shared" si="18"/>
        <v>0</v>
      </c>
      <c r="E146" s="37">
        <f t="shared" si="20"/>
        <v>0</v>
      </c>
      <c r="F146" s="37">
        <f>ROUND(D145*ROUND(((1+'CALCULADORA TIV V-1'!$C$14)^(1/12)-1),6),6)</f>
        <v>0</v>
      </c>
      <c r="G146" s="37">
        <f t="shared" si="21"/>
        <v>0</v>
      </c>
      <c r="H146" s="38">
        <f>IF($B146=0,0,G146/POWER(1+'CALCULADORA TIV V-1'!$F$11,Flujos!$B146/365))</f>
        <v>0</v>
      </c>
      <c r="I146" s="39">
        <f t="shared" si="19"/>
        <v>48111</v>
      </c>
      <c r="J146" s="40">
        <v>144</v>
      </c>
      <c r="K146" s="41">
        <f t="shared" si="22"/>
        <v>4380</v>
      </c>
      <c r="L146" s="42">
        <f t="shared" si="23"/>
        <v>0</v>
      </c>
      <c r="M146" s="43">
        <f t="shared" si="24"/>
        <v>0</v>
      </c>
      <c r="N146" s="43">
        <f t="shared" si="25"/>
        <v>0</v>
      </c>
      <c r="O146" s="44">
        <f t="shared" si="26"/>
        <v>0</v>
      </c>
    </row>
    <row r="147" spans="1:15" ht="12.75">
      <c r="A147" s="159">
        <v>48141</v>
      </c>
      <c r="B147" s="35">
        <f>IF(DIAS365('CALCULADORA TIV V-1'!$E$6,A147)&lt;0,0,DIAS365('CALCULADORA TIV V-1'!$E$6,A147))</f>
        <v>3193</v>
      </c>
      <c r="C147" s="36">
        <f>+HLOOKUP('CALCULADORA TIV V-1'!$E$4,Tablas!$B$1:$B$181,Flujos!J147+1,FALSE)</f>
        <v>0</v>
      </c>
      <c r="D147" s="76">
        <f t="shared" si="18"/>
        <v>0</v>
      </c>
      <c r="E147" s="37">
        <f t="shared" si="20"/>
        <v>0</v>
      </c>
      <c r="F147" s="37">
        <f>ROUND(D146*ROUND(((1+'CALCULADORA TIV V-1'!$C$14)^(1/12)-1),6),6)</f>
        <v>0</v>
      </c>
      <c r="G147" s="37">
        <f t="shared" si="21"/>
        <v>0</v>
      </c>
      <c r="H147" s="38">
        <f>IF($B147=0,0,G147/POWER(1+'CALCULADORA TIV V-1'!$F$11,Flujos!$B147/365))</f>
        <v>0</v>
      </c>
      <c r="I147" s="39">
        <f t="shared" si="19"/>
        <v>48141</v>
      </c>
      <c r="J147" s="40">
        <v>145</v>
      </c>
      <c r="K147" s="41">
        <f t="shared" si="22"/>
        <v>4410</v>
      </c>
      <c r="L147" s="42">
        <f t="shared" si="23"/>
        <v>0</v>
      </c>
      <c r="M147" s="43">
        <f t="shared" si="24"/>
        <v>0</v>
      </c>
      <c r="N147" s="43">
        <f t="shared" si="25"/>
        <v>0</v>
      </c>
      <c r="O147" s="44">
        <f t="shared" si="26"/>
        <v>0</v>
      </c>
    </row>
    <row r="148" spans="1:15" ht="12.75">
      <c r="A148" s="159">
        <v>48172</v>
      </c>
      <c r="B148" s="35">
        <f>IF(DIAS365('CALCULADORA TIV V-1'!$E$6,A148)&lt;0,0,DIAS365('CALCULADORA TIV V-1'!$E$6,A148))</f>
        <v>3224</v>
      </c>
      <c r="C148" s="36">
        <f>+HLOOKUP('CALCULADORA TIV V-1'!$E$4,Tablas!$B$1:$B$181,Flujos!J148+1,FALSE)</f>
        <v>0</v>
      </c>
      <c r="D148" s="76">
        <f t="shared" si="18"/>
        <v>0</v>
      </c>
      <c r="E148" s="37">
        <f t="shared" si="20"/>
        <v>0</v>
      </c>
      <c r="F148" s="37">
        <f>ROUND(D147*ROUND(((1+'CALCULADORA TIV V-1'!$C$14)^(1/12)-1),6),6)</f>
        <v>0</v>
      </c>
      <c r="G148" s="37">
        <f t="shared" si="21"/>
        <v>0</v>
      </c>
      <c r="H148" s="38">
        <f>IF($B148=0,0,G148/POWER(1+'CALCULADORA TIV V-1'!$F$11,Flujos!$B148/365))</f>
        <v>0</v>
      </c>
      <c r="I148" s="39">
        <f t="shared" si="19"/>
        <v>48172</v>
      </c>
      <c r="J148" s="40">
        <v>146</v>
      </c>
      <c r="K148" s="41">
        <f t="shared" si="22"/>
        <v>4441</v>
      </c>
      <c r="L148" s="42">
        <f t="shared" si="23"/>
        <v>0</v>
      </c>
      <c r="M148" s="43">
        <f t="shared" si="24"/>
        <v>0</v>
      </c>
      <c r="N148" s="43">
        <f t="shared" si="25"/>
        <v>0</v>
      </c>
      <c r="O148" s="44">
        <f t="shared" si="26"/>
        <v>0</v>
      </c>
    </row>
    <row r="149" spans="1:15" ht="12.75">
      <c r="A149" s="159">
        <v>48202</v>
      </c>
      <c r="B149" s="35">
        <f>IF(DIAS365('CALCULADORA TIV V-1'!$E$6,A149)&lt;0,0,DIAS365('CALCULADORA TIV V-1'!$E$6,A149))</f>
        <v>3254</v>
      </c>
      <c r="C149" s="36">
        <f>+HLOOKUP('CALCULADORA TIV V-1'!$E$4,Tablas!$B$1:$B$181,Flujos!J149+1,FALSE)</f>
        <v>0</v>
      </c>
      <c r="D149" s="76">
        <f t="shared" si="18"/>
        <v>0</v>
      </c>
      <c r="E149" s="37">
        <f t="shared" si="20"/>
        <v>0</v>
      </c>
      <c r="F149" s="37">
        <f>ROUND(D148*ROUND(((1+'CALCULADORA TIV V-1'!$C$14)^(1/12)-1),6),6)</f>
        <v>0</v>
      </c>
      <c r="G149" s="37">
        <f t="shared" si="21"/>
        <v>0</v>
      </c>
      <c r="H149" s="38">
        <f>IF($B149=0,0,G149/POWER(1+'CALCULADORA TIV V-1'!$F$11,Flujos!$B149/365))</f>
        <v>0</v>
      </c>
      <c r="I149" s="39">
        <f t="shared" si="19"/>
        <v>48202</v>
      </c>
      <c r="J149" s="40">
        <v>147</v>
      </c>
      <c r="K149" s="41">
        <f t="shared" si="22"/>
        <v>4471</v>
      </c>
      <c r="L149" s="42">
        <f t="shared" si="23"/>
        <v>0</v>
      </c>
      <c r="M149" s="43">
        <f t="shared" si="24"/>
        <v>0</v>
      </c>
      <c r="N149" s="43">
        <f t="shared" si="25"/>
        <v>0</v>
      </c>
      <c r="O149" s="44">
        <f t="shared" si="26"/>
        <v>0</v>
      </c>
    </row>
    <row r="150" spans="1:15" ht="12.75">
      <c r="A150" s="159">
        <v>48233</v>
      </c>
      <c r="B150" s="35">
        <f>IF(DIAS365('CALCULADORA TIV V-1'!$E$6,A150)&lt;0,0,DIAS365('CALCULADORA TIV V-1'!$E$6,A150))</f>
        <v>3285</v>
      </c>
      <c r="C150" s="36">
        <f>+HLOOKUP('CALCULADORA TIV V-1'!$E$4,Tablas!$B$1:$B$181,Flujos!J150+1,FALSE)</f>
        <v>0</v>
      </c>
      <c r="D150" s="76">
        <f t="shared" si="18"/>
        <v>0</v>
      </c>
      <c r="E150" s="37">
        <f t="shared" si="20"/>
        <v>0</v>
      </c>
      <c r="F150" s="37">
        <f>ROUND(D149*ROUND(((1+'CALCULADORA TIV V-1'!$C$14)^(1/12)-1),6),6)</f>
        <v>0</v>
      </c>
      <c r="G150" s="37">
        <f t="shared" si="21"/>
        <v>0</v>
      </c>
      <c r="H150" s="38">
        <f>IF($B150=0,0,G150/POWER(1+'CALCULADORA TIV V-1'!$F$11,Flujos!$B150/365))</f>
        <v>0</v>
      </c>
      <c r="I150" s="39">
        <f t="shared" si="19"/>
        <v>48233</v>
      </c>
      <c r="J150" s="40">
        <v>148</v>
      </c>
      <c r="K150" s="41">
        <f t="shared" si="22"/>
        <v>4502</v>
      </c>
      <c r="L150" s="42">
        <f t="shared" si="23"/>
        <v>0</v>
      </c>
      <c r="M150" s="43">
        <f t="shared" si="24"/>
        <v>0</v>
      </c>
      <c r="N150" s="43">
        <f t="shared" si="25"/>
        <v>0</v>
      </c>
      <c r="O150" s="44">
        <f t="shared" si="26"/>
        <v>0</v>
      </c>
    </row>
    <row r="151" spans="1:15" ht="12.75">
      <c r="A151" s="159">
        <v>48264</v>
      </c>
      <c r="B151" s="35">
        <f>IF(DIAS365('CALCULADORA TIV V-1'!$E$6,A151)&lt;0,0,DIAS365('CALCULADORA TIV V-1'!$E$6,A151))</f>
        <v>3316</v>
      </c>
      <c r="C151" s="36">
        <f>+HLOOKUP('CALCULADORA TIV V-1'!$E$4,Tablas!$B$1:$B$181,Flujos!J151+1,FALSE)</f>
        <v>0</v>
      </c>
      <c r="D151" s="76">
        <f t="shared" si="18"/>
        <v>0</v>
      </c>
      <c r="E151" s="37">
        <f t="shared" si="20"/>
        <v>0</v>
      </c>
      <c r="F151" s="37">
        <f>ROUND(D150*ROUND(((1+'CALCULADORA TIV V-1'!$C$14)^(1/12)-1),6),6)</f>
        <v>0</v>
      </c>
      <c r="G151" s="37">
        <f t="shared" si="21"/>
        <v>0</v>
      </c>
      <c r="H151" s="38">
        <f>IF($B151=0,0,G151/POWER(1+'CALCULADORA TIV V-1'!$F$11,Flujos!$B151/365))</f>
        <v>0</v>
      </c>
      <c r="I151" s="39">
        <f t="shared" si="19"/>
        <v>48264</v>
      </c>
      <c r="J151" s="40">
        <v>149</v>
      </c>
      <c r="K151" s="41">
        <f t="shared" si="22"/>
        <v>4533</v>
      </c>
      <c r="L151" s="42">
        <f t="shared" si="23"/>
        <v>0</v>
      </c>
      <c r="M151" s="43">
        <f t="shared" si="24"/>
        <v>0</v>
      </c>
      <c r="N151" s="43">
        <f t="shared" si="25"/>
        <v>0</v>
      </c>
      <c r="O151" s="44">
        <f t="shared" si="26"/>
        <v>0</v>
      </c>
    </row>
    <row r="152" spans="1:15" ht="12.75">
      <c r="A152" s="159">
        <v>48293</v>
      </c>
      <c r="B152" s="35">
        <f>IF(DIAS365('CALCULADORA TIV V-1'!$E$6,A152)&lt;0,0,DIAS365('CALCULADORA TIV V-1'!$E$6,A152))</f>
        <v>3344</v>
      </c>
      <c r="C152" s="36">
        <f>+HLOOKUP('CALCULADORA TIV V-1'!$E$4,Tablas!$B$1:$B$181,Flujos!J152+1,FALSE)</f>
        <v>0</v>
      </c>
      <c r="D152" s="76">
        <f t="shared" si="18"/>
        <v>0</v>
      </c>
      <c r="E152" s="37">
        <f t="shared" si="20"/>
        <v>0</v>
      </c>
      <c r="F152" s="37">
        <f>ROUND(D151*ROUND(((1+'CALCULADORA TIV V-1'!$C$14)^(1/12)-1),6),6)</f>
        <v>0</v>
      </c>
      <c r="G152" s="37">
        <f t="shared" si="21"/>
        <v>0</v>
      </c>
      <c r="H152" s="38">
        <f>IF($B152=0,0,G152/POWER(1+'CALCULADORA TIV V-1'!$F$11,Flujos!$B152/365))</f>
        <v>0</v>
      </c>
      <c r="I152" s="39">
        <f t="shared" si="19"/>
        <v>48293</v>
      </c>
      <c r="J152" s="40">
        <v>150</v>
      </c>
      <c r="K152" s="41">
        <f t="shared" si="22"/>
        <v>4561</v>
      </c>
      <c r="L152" s="42">
        <f t="shared" si="23"/>
        <v>0</v>
      </c>
      <c r="M152" s="43">
        <f t="shared" si="24"/>
        <v>0</v>
      </c>
      <c r="N152" s="43">
        <f t="shared" si="25"/>
        <v>0</v>
      </c>
      <c r="O152" s="44">
        <f t="shared" si="26"/>
        <v>0</v>
      </c>
    </row>
    <row r="153" spans="1:15" ht="12.75">
      <c r="A153" s="159">
        <v>48324</v>
      </c>
      <c r="B153" s="35">
        <f>IF(DIAS365('CALCULADORA TIV V-1'!$E$6,A153)&lt;0,0,DIAS365('CALCULADORA TIV V-1'!$E$6,A153))</f>
        <v>3375</v>
      </c>
      <c r="C153" s="36">
        <f>+HLOOKUP('CALCULADORA TIV V-1'!$E$4,Tablas!$B$1:$B$181,Flujos!J153+1,FALSE)</f>
        <v>0</v>
      </c>
      <c r="D153" s="76">
        <f t="shared" si="18"/>
        <v>0</v>
      </c>
      <c r="E153" s="37">
        <f t="shared" si="20"/>
        <v>0</v>
      </c>
      <c r="F153" s="37">
        <f>ROUND(D152*ROUND(((1+'CALCULADORA TIV V-1'!$C$14)^(1/12)-1),6),6)</f>
        <v>0</v>
      </c>
      <c r="G153" s="37">
        <f t="shared" si="21"/>
        <v>0</v>
      </c>
      <c r="H153" s="38">
        <f>IF($B153=0,0,G153/POWER(1+'CALCULADORA TIV V-1'!$F$11,Flujos!$B153/365))</f>
        <v>0</v>
      </c>
      <c r="I153" s="39">
        <f t="shared" si="19"/>
        <v>48324</v>
      </c>
      <c r="J153" s="40">
        <v>151</v>
      </c>
      <c r="K153" s="41">
        <f t="shared" si="22"/>
        <v>4592</v>
      </c>
      <c r="L153" s="42">
        <f t="shared" si="23"/>
        <v>0</v>
      </c>
      <c r="M153" s="43">
        <f t="shared" si="24"/>
        <v>0</v>
      </c>
      <c r="N153" s="43">
        <f t="shared" si="25"/>
        <v>0</v>
      </c>
      <c r="O153" s="44">
        <f t="shared" si="26"/>
        <v>0</v>
      </c>
    </row>
    <row r="154" spans="1:15" ht="12.75">
      <c r="A154" s="159">
        <v>48354</v>
      </c>
      <c r="B154" s="35">
        <f>IF(DIAS365('CALCULADORA TIV V-1'!$E$6,A154)&lt;0,0,DIAS365('CALCULADORA TIV V-1'!$E$6,A154))</f>
        <v>3405</v>
      </c>
      <c r="C154" s="36">
        <f>+HLOOKUP('CALCULADORA TIV V-1'!$E$4,Tablas!$B$1:$B$181,Flujos!J154+1,FALSE)</f>
        <v>0</v>
      </c>
      <c r="D154" s="76">
        <f t="shared" si="18"/>
        <v>0</v>
      </c>
      <c r="E154" s="37">
        <f t="shared" si="20"/>
        <v>0</v>
      </c>
      <c r="F154" s="37">
        <f>ROUND(D153*ROUND(((1+'CALCULADORA TIV V-1'!$C$14)^(1/12)-1),6),6)</f>
        <v>0</v>
      </c>
      <c r="G154" s="37">
        <f t="shared" si="21"/>
        <v>0</v>
      </c>
      <c r="H154" s="38">
        <f>IF($B154=0,0,G154/POWER(1+'CALCULADORA TIV V-1'!$F$11,Flujos!$B154/365))</f>
        <v>0</v>
      </c>
      <c r="I154" s="39">
        <f t="shared" si="19"/>
        <v>48354</v>
      </c>
      <c r="J154" s="40">
        <v>152</v>
      </c>
      <c r="K154" s="41">
        <f t="shared" si="22"/>
        <v>4622</v>
      </c>
      <c r="L154" s="42">
        <f t="shared" si="23"/>
        <v>0</v>
      </c>
      <c r="M154" s="43">
        <f t="shared" si="24"/>
        <v>0</v>
      </c>
      <c r="N154" s="43">
        <f t="shared" si="25"/>
        <v>0</v>
      </c>
      <c r="O154" s="44">
        <f t="shared" si="26"/>
        <v>0</v>
      </c>
    </row>
    <row r="155" spans="1:15" ht="12.75">
      <c r="A155" s="159">
        <v>48385</v>
      </c>
      <c r="B155" s="35">
        <f>IF(DIAS365('CALCULADORA TIV V-1'!$E$6,A155)&lt;0,0,DIAS365('CALCULADORA TIV V-1'!$E$6,A155))</f>
        <v>3436</v>
      </c>
      <c r="C155" s="36">
        <f>+HLOOKUP('CALCULADORA TIV V-1'!$E$4,Tablas!$B$1:$B$181,Flujos!J155+1,FALSE)</f>
        <v>0</v>
      </c>
      <c r="D155" s="76">
        <f t="shared" si="18"/>
        <v>0</v>
      </c>
      <c r="E155" s="37">
        <f t="shared" si="20"/>
        <v>0</v>
      </c>
      <c r="F155" s="37">
        <f>ROUND(D154*ROUND(((1+'CALCULADORA TIV V-1'!$C$14)^(1/12)-1),6),6)</f>
        <v>0</v>
      </c>
      <c r="G155" s="37">
        <f t="shared" si="21"/>
        <v>0</v>
      </c>
      <c r="H155" s="38">
        <f>IF($B155=0,0,G155/POWER(1+'CALCULADORA TIV V-1'!$F$11,Flujos!$B155/365))</f>
        <v>0</v>
      </c>
      <c r="I155" s="39">
        <f t="shared" si="19"/>
        <v>48385</v>
      </c>
      <c r="J155" s="40">
        <v>153</v>
      </c>
      <c r="K155" s="41">
        <f t="shared" si="22"/>
        <v>4653</v>
      </c>
      <c r="L155" s="42">
        <f t="shared" si="23"/>
        <v>0</v>
      </c>
      <c r="M155" s="43">
        <f t="shared" si="24"/>
        <v>0</v>
      </c>
      <c r="N155" s="43">
        <f t="shared" si="25"/>
        <v>0</v>
      </c>
      <c r="O155" s="44">
        <f t="shared" si="26"/>
        <v>0</v>
      </c>
    </row>
    <row r="156" spans="1:15" ht="12.75">
      <c r="A156" s="159">
        <v>48415</v>
      </c>
      <c r="B156" s="35">
        <f>IF(DIAS365('CALCULADORA TIV V-1'!$E$6,A156)&lt;0,0,DIAS365('CALCULADORA TIV V-1'!$E$6,A156))</f>
        <v>3466</v>
      </c>
      <c r="C156" s="36">
        <f>+HLOOKUP('CALCULADORA TIV V-1'!$E$4,Tablas!$B$1:$B$181,Flujos!J156+1,FALSE)</f>
        <v>0</v>
      </c>
      <c r="D156" s="76">
        <f t="shared" si="18"/>
        <v>0</v>
      </c>
      <c r="E156" s="37">
        <f t="shared" si="20"/>
        <v>0</v>
      </c>
      <c r="F156" s="37">
        <f>ROUND(D155*ROUND(((1+'CALCULADORA TIV V-1'!$C$14)^(1/12)-1),6),6)</f>
        <v>0</v>
      </c>
      <c r="G156" s="37">
        <f t="shared" si="21"/>
        <v>0</v>
      </c>
      <c r="H156" s="38">
        <f>IF($B156=0,0,G156/POWER(1+'CALCULADORA TIV V-1'!$F$11,Flujos!$B156/365))</f>
        <v>0</v>
      </c>
      <c r="I156" s="39">
        <f t="shared" si="19"/>
        <v>48415</v>
      </c>
      <c r="J156" s="40">
        <v>154</v>
      </c>
      <c r="K156" s="41">
        <f t="shared" si="22"/>
        <v>4683</v>
      </c>
      <c r="L156" s="42">
        <f t="shared" si="23"/>
        <v>0</v>
      </c>
      <c r="M156" s="43">
        <f t="shared" si="24"/>
        <v>0</v>
      </c>
      <c r="N156" s="43">
        <f t="shared" si="25"/>
        <v>0</v>
      </c>
      <c r="O156" s="44">
        <f t="shared" si="26"/>
        <v>0</v>
      </c>
    </row>
    <row r="157" spans="1:15" ht="12.75">
      <c r="A157" s="159">
        <v>48446</v>
      </c>
      <c r="B157" s="35">
        <f>IF(DIAS365('CALCULADORA TIV V-1'!$E$6,A157)&lt;0,0,DIAS365('CALCULADORA TIV V-1'!$E$6,A157))</f>
        <v>3497</v>
      </c>
      <c r="C157" s="36">
        <f>+HLOOKUP('CALCULADORA TIV V-1'!$E$4,Tablas!$B$1:$B$181,Flujos!J157+1,FALSE)</f>
        <v>0</v>
      </c>
      <c r="D157" s="76">
        <f t="shared" si="18"/>
        <v>0</v>
      </c>
      <c r="E157" s="37">
        <f t="shared" si="20"/>
        <v>0</v>
      </c>
      <c r="F157" s="37">
        <f>ROUND(D156*ROUND(((1+'CALCULADORA TIV V-1'!$C$14)^(1/12)-1),6),6)</f>
        <v>0</v>
      </c>
      <c r="G157" s="37">
        <f t="shared" si="21"/>
        <v>0</v>
      </c>
      <c r="H157" s="38">
        <f>IF($B157=0,0,G157/POWER(1+'CALCULADORA TIV V-1'!$F$11,Flujos!$B157/365))</f>
        <v>0</v>
      </c>
      <c r="I157" s="39">
        <f t="shared" si="19"/>
        <v>48446</v>
      </c>
      <c r="J157" s="40">
        <v>155</v>
      </c>
      <c r="K157" s="41">
        <f t="shared" si="22"/>
        <v>4714</v>
      </c>
      <c r="L157" s="42">
        <f t="shared" si="23"/>
        <v>0</v>
      </c>
      <c r="M157" s="43">
        <f t="shared" si="24"/>
        <v>0</v>
      </c>
      <c r="N157" s="43">
        <f t="shared" si="25"/>
        <v>0</v>
      </c>
      <c r="O157" s="44">
        <f t="shared" si="26"/>
        <v>0</v>
      </c>
    </row>
    <row r="158" spans="1:15" ht="12.75">
      <c r="A158" s="159">
        <v>48477</v>
      </c>
      <c r="B158" s="35">
        <f>IF(DIAS365('CALCULADORA TIV V-1'!$E$6,A158)&lt;0,0,DIAS365('CALCULADORA TIV V-1'!$E$6,A158))</f>
        <v>3528</v>
      </c>
      <c r="C158" s="36">
        <f>+HLOOKUP('CALCULADORA TIV V-1'!$E$4,Tablas!$B$1:$B$181,Flujos!J158+1,FALSE)</f>
        <v>0</v>
      </c>
      <c r="D158" s="76">
        <f t="shared" si="18"/>
        <v>0</v>
      </c>
      <c r="E158" s="37">
        <f t="shared" si="20"/>
        <v>0</v>
      </c>
      <c r="F158" s="37">
        <f>ROUND(D157*ROUND(((1+'CALCULADORA TIV V-1'!$C$14)^(1/12)-1),6),6)</f>
        <v>0</v>
      </c>
      <c r="G158" s="37">
        <f t="shared" si="21"/>
        <v>0</v>
      </c>
      <c r="H158" s="38">
        <f>IF($B158=0,0,G158/POWER(1+'CALCULADORA TIV V-1'!$F$11,Flujos!$B158/365))</f>
        <v>0</v>
      </c>
      <c r="I158" s="39">
        <f t="shared" si="19"/>
        <v>48477</v>
      </c>
      <c r="J158" s="40">
        <v>156</v>
      </c>
      <c r="K158" s="41">
        <f t="shared" si="22"/>
        <v>4745</v>
      </c>
      <c r="L158" s="42">
        <f t="shared" si="23"/>
        <v>0</v>
      </c>
      <c r="M158" s="43">
        <f t="shared" si="24"/>
        <v>0</v>
      </c>
      <c r="N158" s="43">
        <f t="shared" si="25"/>
        <v>0</v>
      </c>
      <c r="O158" s="44">
        <f t="shared" si="26"/>
        <v>0</v>
      </c>
    </row>
    <row r="159" spans="1:15" ht="12.75">
      <c r="A159" s="159">
        <v>48507</v>
      </c>
      <c r="B159" s="35">
        <f>IF(DIAS365('CALCULADORA TIV V-1'!$E$6,A159)&lt;0,0,DIAS365('CALCULADORA TIV V-1'!$E$6,A159))</f>
        <v>3558</v>
      </c>
      <c r="C159" s="36">
        <f>+HLOOKUP('CALCULADORA TIV V-1'!$E$4,Tablas!$B$1:$B$181,Flujos!J159+1,FALSE)</f>
        <v>0</v>
      </c>
      <c r="D159" s="76">
        <f t="shared" si="18"/>
        <v>0</v>
      </c>
      <c r="E159" s="37">
        <f t="shared" si="20"/>
        <v>0</v>
      </c>
      <c r="F159" s="37">
        <f>ROUND(D158*ROUND(((1+'CALCULADORA TIV V-1'!$C$14)^(1/12)-1),6),6)</f>
        <v>0</v>
      </c>
      <c r="G159" s="37">
        <f t="shared" si="21"/>
        <v>0</v>
      </c>
      <c r="H159" s="38">
        <f>IF($B159=0,0,G159/POWER(1+'CALCULADORA TIV V-1'!$F$11,Flujos!$B159/365))</f>
        <v>0</v>
      </c>
      <c r="I159" s="39">
        <f t="shared" si="19"/>
        <v>48507</v>
      </c>
      <c r="J159" s="40">
        <v>157</v>
      </c>
      <c r="K159" s="41">
        <f t="shared" si="22"/>
        <v>4775</v>
      </c>
      <c r="L159" s="42">
        <f t="shared" si="23"/>
        <v>0</v>
      </c>
      <c r="M159" s="43">
        <f t="shared" si="24"/>
        <v>0</v>
      </c>
      <c r="N159" s="43">
        <f t="shared" si="25"/>
        <v>0</v>
      </c>
      <c r="O159" s="44">
        <f t="shared" si="26"/>
        <v>0</v>
      </c>
    </row>
    <row r="160" spans="1:15" ht="12.75">
      <c r="A160" s="159">
        <v>48538</v>
      </c>
      <c r="B160" s="35">
        <f>IF(DIAS365('CALCULADORA TIV V-1'!$E$6,A160)&lt;0,0,DIAS365('CALCULADORA TIV V-1'!$E$6,A160))</f>
        <v>3589</v>
      </c>
      <c r="C160" s="36">
        <f>+HLOOKUP('CALCULADORA TIV V-1'!$E$4,Tablas!$B$1:$B$181,Flujos!J160+1,FALSE)</f>
        <v>0</v>
      </c>
      <c r="D160" s="76">
        <f t="shared" si="18"/>
        <v>0</v>
      </c>
      <c r="E160" s="37">
        <f t="shared" si="20"/>
        <v>0</v>
      </c>
      <c r="F160" s="37">
        <f>ROUND(D159*ROUND(((1+'CALCULADORA TIV V-1'!$C$14)^(1/12)-1),6),6)</f>
        <v>0</v>
      </c>
      <c r="G160" s="37">
        <f t="shared" si="21"/>
        <v>0</v>
      </c>
      <c r="H160" s="38">
        <f>IF($B160=0,0,G160/POWER(1+'CALCULADORA TIV V-1'!$F$11,Flujos!$B160/365))</f>
        <v>0</v>
      </c>
      <c r="I160" s="39">
        <f t="shared" si="19"/>
        <v>48538</v>
      </c>
      <c r="J160" s="40">
        <v>158</v>
      </c>
      <c r="K160" s="41">
        <f t="shared" si="22"/>
        <v>4806</v>
      </c>
      <c r="L160" s="42">
        <f t="shared" si="23"/>
        <v>0</v>
      </c>
      <c r="M160" s="43">
        <f t="shared" si="24"/>
        <v>0</v>
      </c>
      <c r="N160" s="43">
        <f t="shared" si="25"/>
        <v>0</v>
      </c>
      <c r="O160" s="44">
        <f t="shared" si="26"/>
        <v>0</v>
      </c>
    </row>
    <row r="161" spans="1:15" ht="12.75">
      <c r="A161" s="159">
        <v>48568</v>
      </c>
      <c r="B161" s="35">
        <f>IF(DIAS365('CALCULADORA TIV V-1'!$E$6,A161)&lt;0,0,DIAS365('CALCULADORA TIV V-1'!$E$6,A161))</f>
        <v>3619</v>
      </c>
      <c r="C161" s="36">
        <f>+HLOOKUP('CALCULADORA TIV V-1'!$E$4,Tablas!$B$1:$B$181,Flujos!J161+1,FALSE)</f>
        <v>0</v>
      </c>
      <c r="D161" s="76">
        <f t="shared" si="18"/>
        <v>0</v>
      </c>
      <c r="E161" s="37">
        <f t="shared" si="20"/>
        <v>0</v>
      </c>
      <c r="F161" s="37">
        <f>ROUND(D160*ROUND(((1+'CALCULADORA TIV V-1'!$C$14)^(1/12)-1),6),6)</f>
        <v>0</v>
      </c>
      <c r="G161" s="37">
        <f t="shared" si="21"/>
        <v>0</v>
      </c>
      <c r="H161" s="38">
        <f>IF($B161=0,0,G161/POWER(1+'CALCULADORA TIV V-1'!$F$11,Flujos!$B161/365))</f>
        <v>0</v>
      </c>
      <c r="I161" s="39">
        <f t="shared" si="19"/>
        <v>48568</v>
      </c>
      <c r="J161" s="40">
        <v>159</v>
      </c>
      <c r="K161" s="41">
        <f t="shared" si="22"/>
        <v>4836</v>
      </c>
      <c r="L161" s="42">
        <f t="shared" si="23"/>
        <v>0</v>
      </c>
      <c r="M161" s="43">
        <f t="shared" si="24"/>
        <v>0</v>
      </c>
      <c r="N161" s="43">
        <f t="shared" si="25"/>
        <v>0</v>
      </c>
      <c r="O161" s="44">
        <f t="shared" si="26"/>
        <v>0</v>
      </c>
    </row>
    <row r="162" spans="1:15" ht="12.75">
      <c r="A162" s="159">
        <v>48599</v>
      </c>
      <c r="B162" s="35">
        <f>IF(DIAS365('CALCULADORA TIV V-1'!$E$6,A162)&lt;0,0,DIAS365('CALCULADORA TIV V-1'!$E$6,A162))</f>
        <v>3650</v>
      </c>
      <c r="C162" s="36">
        <f>+HLOOKUP('CALCULADORA TIV V-1'!$E$4,Tablas!$B$1:$B$181,Flujos!J162+1,FALSE)</f>
        <v>0</v>
      </c>
      <c r="D162" s="76">
        <f t="shared" si="18"/>
        <v>0</v>
      </c>
      <c r="E162" s="37">
        <f t="shared" si="20"/>
        <v>0</v>
      </c>
      <c r="F162" s="37">
        <f>ROUND(D161*ROUND(((1+'CALCULADORA TIV V-1'!$C$14)^(1/12)-1),6),6)</f>
        <v>0</v>
      </c>
      <c r="G162" s="37">
        <f t="shared" si="21"/>
        <v>0</v>
      </c>
      <c r="H162" s="38">
        <f>IF($B162=0,0,G162/POWER(1+'CALCULADORA TIV V-1'!$F$11,Flujos!$B162/365))</f>
        <v>0</v>
      </c>
      <c r="I162" s="39">
        <f t="shared" si="19"/>
        <v>48599</v>
      </c>
      <c r="J162" s="40">
        <v>160</v>
      </c>
      <c r="K162" s="41">
        <f t="shared" si="22"/>
        <v>4867</v>
      </c>
      <c r="L162" s="42">
        <f t="shared" si="23"/>
        <v>0</v>
      </c>
      <c r="M162" s="43">
        <f t="shared" si="24"/>
        <v>0</v>
      </c>
      <c r="N162" s="43">
        <f t="shared" si="25"/>
        <v>0</v>
      </c>
      <c r="O162" s="44">
        <f t="shared" si="26"/>
        <v>0</v>
      </c>
    </row>
    <row r="163" spans="1:15" ht="12.75">
      <c r="A163" s="159">
        <v>48630</v>
      </c>
      <c r="B163" s="35">
        <f>IF(DIAS365('CALCULADORA TIV V-1'!$E$6,A163)&lt;0,0,DIAS365('CALCULADORA TIV V-1'!$E$6,A163))</f>
        <v>3681</v>
      </c>
      <c r="C163" s="36">
        <f>+HLOOKUP('CALCULADORA TIV V-1'!$E$4,Tablas!$B$1:$B$181,Flujos!J163+1,FALSE)</f>
        <v>0</v>
      </c>
      <c r="D163" s="76">
        <f t="shared" si="18"/>
        <v>0</v>
      </c>
      <c r="E163" s="37">
        <f t="shared" si="20"/>
        <v>0</v>
      </c>
      <c r="F163" s="37">
        <f>ROUND(D162*ROUND(((1+'CALCULADORA TIV V-1'!$C$14)^(1/12)-1),6),6)</f>
        <v>0</v>
      </c>
      <c r="G163" s="37">
        <f t="shared" si="21"/>
        <v>0</v>
      </c>
      <c r="H163" s="38">
        <f>IF($B163=0,0,G163/POWER(1+'CALCULADORA TIV V-1'!$F$11,Flujos!$B163/365))</f>
        <v>0</v>
      </c>
      <c r="I163" s="39">
        <f t="shared" si="19"/>
        <v>48630</v>
      </c>
      <c r="J163" s="40">
        <v>161</v>
      </c>
      <c r="K163" s="41">
        <f t="shared" si="22"/>
        <v>4898</v>
      </c>
      <c r="L163" s="42">
        <f t="shared" si="23"/>
        <v>0</v>
      </c>
      <c r="M163" s="43">
        <f t="shared" si="24"/>
        <v>0</v>
      </c>
      <c r="N163" s="43">
        <f t="shared" si="25"/>
        <v>0</v>
      </c>
      <c r="O163" s="44">
        <f t="shared" si="26"/>
        <v>0</v>
      </c>
    </row>
    <row r="164" spans="1:15" ht="12.75">
      <c r="A164" s="159">
        <v>48658</v>
      </c>
      <c r="B164" s="35">
        <f>IF(DIAS365('CALCULADORA TIV V-1'!$E$6,A164)&lt;0,0,DIAS365('CALCULADORA TIV V-1'!$E$6,A164))</f>
        <v>3709</v>
      </c>
      <c r="C164" s="36">
        <f>+HLOOKUP('CALCULADORA TIV V-1'!$E$4,Tablas!$B$1:$B$181,Flujos!J164+1,FALSE)</f>
        <v>0</v>
      </c>
      <c r="D164" s="76">
        <f t="shared" si="18"/>
        <v>0</v>
      </c>
      <c r="E164" s="37">
        <f t="shared" si="20"/>
        <v>0</v>
      </c>
      <c r="F164" s="37">
        <f>ROUND(D163*ROUND(((1+'CALCULADORA TIV V-1'!$C$14)^(1/12)-1),6),6)</f>
        <v>0</v>
      </c>
      <c r="G164" s="37">
        <f t="shared" si="21"/>
        <v>0</v>
      </c>
      <c r="H164" s="38">
        <f>IF($B164=0,0,G164/POWER(1+'CALCULADORA TIV V-1'!$F$11,Flujos!$B164/365))</f>
        <v>0</v>
      </c>
      <c r="I164" s="39">
        <f t="shared" si="19"/>
        <v>48658</v>
      </c>
      <c r="J164" s="40">
        <v>162</v>
      </c>
      <c r="K164" s="41">
        <f t="shared" si="22"/>
        <v>4926</v>
      </c>
      <c r="L164" s="42">
        <f t="shared" si="23"/>
        <v>0</v>
      </c>
      <c r="M164" s="43">
        <f t="shared" si="24"/>
        <v>0</v>
      </c>
      <c r="N164" s="43">
        <f t="shared" si="25"/>
        <v>0</v>
      </c>
      <c r="O164" s="44">
        <f t="shared" si="26"/>
        <v>0</v>
      </c>
    </row>
    <row r="165" spans="1:15" ht="12.75">
      <c r="A165" s="159">
        <v>48689</v>
      </c>
      <c r="B165" s="35">
        <f>IF(DIAS365('CALCULADORA TIV V-1'!$E$6,A165)&lt;0,0,DIAS365('CALCULADORA TIV V-1'!$E$6,A165))</f>
        <v>3740</v>
      </c>
      <c r="C165" s="36">
        <f>+HLOOKUP('CALCULADORA TIV V-1'!$E$4,Tablas!$B$1:$B$181,Flujos!J165+1,FALSE)</f>
        <v>0</v>
      </c>
      <c r="D165" s="76">
        <f t="shared" si="18"/>
        <v>0</v>
      </c>
      <c r="E165" s="37">
        <f t="shared" si="20"/>
        <v>0</v>
      </c>
      <c r="F165" s="37">
        <f>ROUND(D164*ROUND(((1+'CALCULADORA TIV V-1'!$C$14)^(1/12)-1),6),6)</f>
        <v>0</v>
      </c>
      <c r="G165" s="37">
        <f t="shared" si="21"/>
        <v>0</v>
      </c>
      <c r="H165" s="38">
        <f>IF($B165=0,0,G165/POWER(1+'CALCULADORA TIV V-1'!$F$11,Flujos!$B165/365))</f>
        <v>0</v>
      </c>
      <c r="I165" s="39">
        <f t="shared" si="19"/>
        <v>48689</v>
      </c>
      <c r="J165" s="40">
        <v>163</v>
      </c>
      <c r="K165" s="41">
        <f t="shared" si="22"/>
        <v>4957</v>
      </c>
      <c r="L165" s="42">
        <f t="shared" si="23"/>
        <v>0</v>
      </c>
      <c r="M165" s="43">
        <f t="shared" si="24"/>
        <v>0</v>
      </c>
      <c r="N165" s="43">
        <f t="shared" si="25"/>
        <v>0</v>
      </c>
      <c r="O165" s="44">
        <f t="shared" si="26"/>
        <v>0</v>
      </c>
    </row>
    <row r="166" spans="1:15" ht="12.75">
      <c r="A166" s="159">
        <v>48719</v>
      </c>
      <c r="B166" s="35">
        <f>IF(DIAS365('CALCULADORA TIV V-1'!$E$6,A166)&lt;0,0,DIAS365('CALCULADORA TIV V-1'!$E$6,A166))</f>
        <v>3770</v>
      </c>
      <c r="C166" s="36">
        <f>+HLOOKUP('CALCULADORA TIV V-1'!$E$4,Tablas!$B$1:$B$181,Flujos!J166+1,FALSE)</f>
        <v>0</v>
      </c>
      <c r="D166" s="76">
        <f t="shared" si="18"/>
        <v>0</v>
      </c>
      <c r="E166" s="37">
        <f t="shared" si="20"/>
        <v>0</v>
      </c>
      <c r="F166" s="37">
        <f>ROUND(D165*ROUND(((1+'CALCULADORA TIV V-1'!$C$14)^(1/12)-1),6),6)</f>
        <v>0</v>
      </c>
      <c r="G166" s="37">
        <f t="shared" si="21"/>
        <v>0</v>
      </c>
      <c r="H166" s="38">
        <f>IF($B166=0,0,G166/POWER(1+'CALCULADORA TIV V-1'!$F$11,Flujos!$B166/365))</f>
        <v>0</v>
      </c>
      <c r="I166" s="39">
        <f t="shared" si="19"/>
        <v>48719</v>
      </c>
      <c r="J166" s="40">
        <v>164</v>
      </c>
      <c r="K166" s="41">
        <f t="shared" si="22"/>
        <v>4987</v>
      </c>
      <c r="L166" s="42">
        <f t="shared" si="23"/>
        <v>0</v>
      </c>
      <c r="M166" s="43">
        <f t="shared" si="24"/>
        <v>0</v>
      </c>
      <c r="N166" s="43">
        <f t="shared" si="25"/>
        <v>0</v>
      </c>
      <c r="O166" s="44">
        <f t="shared" si="26"/>
        <v>0</v>
      </c>
    </row>
    <row r="167" spans="1:15" ht="12.75">
      <c r="A167" s="159">
        <v>48750</v>
      </c>
      <c r="B167" s="35">
        <f>IF(DIAS365('CALCULADORA TIV V-1'!$E$6,A167)&lt;0,0,DIAS365('CALCULADORA TIV V-1'!$E$6,A167))</f>
        <v>3801</v>
      </c>
      <c r="C167" s="36">
        <f>+HLOOKUP('CALCULADORA TIV V-1'!$E$4,Tablas!$B$1:$B$181,Flujos!J167+1,FALSE)</f>
        <v>0</v>
      </c>
      <c r="D167" s="76">
        <f t="shared" si="18"/>
        <v>0</v>
      </c>
      <c r="E167" s="37">
        <f t="shared" si="20"/>
        <v>0</v>
      </c>
      <c r="F167" s="37">
        <f>ROUND(D166*ROUND(((1+'CALCULADORA TIV V-1'!$C$14)^(1/12)-1),6),6)</f>
        <v>0</v>
      </c>
      <c r="G167" s="37">
        <f t="shared" si="21"/>
        <v>0</v>
      </c>
      <c r="H167" s="38">
        <f>IF($B167=0,0,G167/POWER(1+'CALCULADORA TIV V-1'!$F$11,Flujos!$B167/365))</f>
        <v>0</v>
      </c>
      <c r="I167" s="39">
        <f t="shared" si="19"/>
        <v>48750</v>
      </c>
      <c r="J167" s="40">
        <v>165</v>
      </c>
      <c r="K167" s="41">
        <f t="shared" si="22"/>
        <v>5018</v>
      </c>
      <c r="L167" s="42">
        <f t="shared" si="23"/>
        <v>0</v>
      </c>
      <c r="M167" s="43">
        <f t="shared" si="24"/>
        <v>0</v>
      </c>
      <c r="N167" s="43">
        <f t="shared" si="25"/>
        <v>0</v>
      </c>
      <c r="O167" s="44">
        <f t="shared" si="26"/>
        <v>0</v>
      </c>
    </row>
    <row r="168" spans="1:15" ht="12.75">
      <c r="A168" s="159">
        <v>48780</v>
      </c>
      <c r="B168" s="35">
        <f>IF(DIAS365('CALCULADORA TIV V-1'!$E$6,A168)&lt;0,0,DIAS365('CALCULADORA TIV V-1'!$E$6,A168))</f>
        <v>3831</v>
      </c>
      <c r="C168" s="36">
        <f>+HLOOKUP('CALCULADORA TIV V-1'!$E$4,Tablas!$B$1:$B$181,Flujos!J168+1,FALSE)</f>
        <v>0</v>
      </c>
      <c r="D168" s="76">
        <f t="shared" si="18"/>
        <v>0</v>
      </c>
      <c r="E168" s="37">
        <f t="shared" si="20"/>
        <v>0</v>
      </c>
      <c r="F168" s="37">
        <f>ROUND(D167*ROUND(((1+'CALCULADORA TIV V-1'!$C$14)^(1/12)-1),6),6)</f>
        <v>0</v>
      </c>
      <c r="G168" s="37">
        <f t="shared" si="21"/>
        <v>0</v>
      </c>
      <c r="H168" s="38">
        <f>IF($B168=0,0,G168/POWER(1+'CALCULADORA TIV V-1'!$F$11,Flujos!$B168/365))</f>
        <v>0</v>
      </c>
      <c r="I168" s="39">
        <f t="shared" si="19"/>
        <v>48780</v>
      </c>
      <c r="J168" s="40">
        <v>166</v>
      </c>
      <c r="K168" s="41">
        <f t="shared" si="22"/>
        <v>5048</v>
      </c>
      <c r="L168" s="42">
        <f t="shared" si="23"/>
        <v>0</v>
      </c>
      <c r="M168" s="43">
        <f t="shared" si="24"/>
        <v>0</v>
      </c>
      <c r="N168" s="43">
        <f t="shared" si="25"/>
        <v>0</v>
      </c>
      <c r="O168" s="44">
        <f t="shared" si="26"/>
        <v>0</v>
      </c>
    </row>
    <row r="169" spans="1:15" ht="12.75">
      <c r="A169" s="159">
        <v>48811</v>
      </c>
      <c r="B169" s="35">
        <f>IF(DIAS365('CALCULADORA TIV V-1'!$E$6,A169)&lt;0,0,DIAS365('CALCULADORA TIV V-1'!$E$6,A169))</f>
        <v>3862</v>
      </c>
      <c r="C169" s="36">
        <f>+HLOOKUP('CALCULADORA TIV V-1'!$E$4,Tablas!$B$1:$B$181,Flujos!J169+1,FALSE)</f>
        <v>0</v>
      </c>
      <c r="D169" s="76">
        <f t="shared" si="18"/>
        <v>0</v>
      </c>
      <c r="E169" s="37">
        <f t="shared" si="20"/>
        <v>0</v>
      </c>
      <c r="F169" s="37">
        <f>ROUND(D168*ROUND(((1+'CALCULADORA TIV V-1'!$C$14)^(1/12)-1),6),6)</f>
        <v>0</v>
      </c>
      <c r="G169" s="37">
        <f t="shared" si="21"/>
        <v>0</v>
      </c>
      <c r="H169" s="38">
        <f>IF($B169=0,0,G169/POWER(1+'CALCULADORA TIV V-1'!$F$11,Flujos!$B169/365))</f>
        <v>0</v>
      </c>
      <c r="I169" s="39">
        <f t="shared" si="19"/>
        <v>48811</v>
      </c>
      <c r="J169" s="40">
        <v>167</v>
      </c>
      <c r="K169" s="41">
        <f t="shared" si="22"/>
        <v>5079</v>
      </c>
      <c r="L169" s="42">
        <f t="shared" si="23"/>
        <v>0</v>
      </c>
      <c r="M169" s="43">
        <f t="shared" si="24"/>
        <v>0</v>
      </c>
      <c r="N169" s="43">
        <f t="shared" si="25"/>
        <v>0</v>
      </c>
      <c r="O169" s="44">
        <f t="shared" si="26"/>
        <v>0</v>
      </c>
    </row>
    <row r="170" spans="1:15" ht="12.75">
      <c r="A170" s="159">
        <v>48842</v>
      </c>
      <c r="B170" s="35">
        <f>IF(DIAS365('CALCULADORA TIV V-1'!$E$6,A170)&lt;0,0,DIAS365('CALCULADORA TIV V-1'!$E$6,A170))</f>
        <v>3893</v>
      </c>
      <c r="C170" s="36">
        <f>+HLOOKUP('CALCULADORA TIV V-1'!$E$4,Tablas!$B$1:$B$181,Flujos!J170+1,FALSE)</f>
        <v>0</v>
      </c>
      <c r="D170" s="76">
        <f t="shared" si="18"/>
        <v>0</v>
      </c>
      <c r="E170" s="37">
        <f t="shared" si="20"/>
        <v>0</v>
      </c>
      <c r="F170" s="37">
        <f>ROUND(D169*ROUND(((1+'CALCULADORA TIV V-1'!$C$14)^(1/12)-1),6),6)</f>
        <v>0</v>
      </c>
      <c r="G170" s="37">
        <f t="shared" si="21"/>
        <v>0</v>
      </c>
      <c r="H170" s="38">
        <f>IF($B170=0,0,G170/POWER(1+'CALCULADORA TIV V-1'!$F$11,Flujos!$B170/365))</f>
        <v>0</v>
      </c>
      <c r="I170" s="39">
        <f t="shared" si="19"/>
        <v>48842</v>
      </c>
      <c r="J170" s="40">
        <v>168</v>
      </c>
      <c r="K170" s="41">
        <f t="shared" si="22"/>
        <v>5110</v>
      </c>
      <c r="L170" s="42">
        <f t="shared" si="23"/>
        <v>0</v>
      </c>
      <c r="M170" s="43">
        <f t="shared" si="24"/>
        <v>0</v>
      </c>
      <c r="N170" s="43">
        <f t="shared" si="25"/>
        <v>0</v>
      </c>
      <c r="O170" s="44">
        <f t="shared" si="26"/>
        <v>0</v>
      </c>
    </row>
    <row r="171" spans="1:15" ht="12.75">
      <c r="A171" s="159">
        <v>48872</v>
      </c>
      <c r="B171" s="35">
        <f>IF(DIAS365('CALCULADORA TIV V-1'!$E$6,A171)&lt;0,0,DIAS365('CALCULADORA TIV V-1'!$E$6,A171))</f>
        <v>3923</v>
      </c>
      <c r="C171" s="36">
        <f>+HLOOKUP('CALCULADORA TIV V-1'!$E$4,Tablas!$B$1:$B$181,Flujos!J171+1,FALSE)</f>
        <v>0</v>
      </c>
      <c r="D171" s="76">
        <f t="shared" si="18"/>
        <v>0</v>
      </c>
      <c r="E171" s="37">
        <f t="shared" si="20"/>
        <v>0</v>
      </c>
      <c r="F171" s="37">
        <f>ROUND(D170*ROUND(((1+'CALCULADORA TIV V-1'!$C$14)^(1/12)-1),6),6)</f>
        <v>0</v>
      </c>
      <c r="G171" s="37">
        <f t="shared" si="21"/>
        <v>0</v>
      </c>
      <c r="H171" s="38">
        <f>IF($B171=0,0,G171/POWER(1+'CALCULADORA TIV V-1'!$F$11,Flujos!$B171/365))</f>
        <v>0</v>
      </c>
      <c r="I171" s="39">
        <f t="shared" si="19"/>
        <v>48872</v>
      </c>
      <c r="J171" s="40">
        <v>169</v>
      </c>
      <c r="K171" s="41">
        <f t="shared" si="22"/>
        <v>5140</v>
      </c>
      <c r="L171" s="42">
        <f t="shared" si="23"/>
        <v>0</v>
      </c>
      <c r="M171" s="43">
        <f t="shared" si="24"/>
        <v>0</v>
      </c>
      <c r="N171" s="43">
        <f t="shared" si="25"/>
        <v>0</v>
      </c>
      <c r="O171" s="44">
        <f t="shared" si="26"/>
        <v>0</v>
      </c>
    </row>
    <row r="172" spans="1:15" ht="12.75">
      <c r="A172" s="159">
        <v>48903</v>
      </c>
      <c r="B172" s="35">
        <f>IF(DIAS365('CALCULADORA TIV V-1'!$E$6,A172)&lt;0,0,DIAS365('CALCULADORA TIV V-1'!$E$6,A172))</f>
        <v>3954</v>
      </c>
      <c r="C172" s="36">
        <f>+HLOOKUP('CALCULADORA TIV V-1'!$E$4,Tablas!$B$1:$B$181,Flujos!J172+1,FALSE)</f>
        <v>0</v>
      </c>
      <c r="D172" s="76">
        <f t="shared" si="18"/>
        <v>0</v>
      </c>
      <c r="E172" s="37">
        <f t="shared" si="20"/>
        <v>0</v>
      </c>
      <c r="F172" s="37">
        <f>ROUND(D171*ROUND(((1+'CALCULADORA TIV V-1'!$C$14)^(1/12)-1),6),6)</f>
        <v>0</v>
      </c>
      <c r="G172" s="37">
        <f t="shared" si="21"/>
        <v>0</v>
      </c>
      <c r="H172" s="38">
        <f>IF($B172=0,0,G172/POWER(1+'CALCULADORA TIV V-1'!$F$11,Flujos!$B172/365))</f>
        <v>0</v>
      </c>
      <c r="I172" s="39">
        <f t="shared" si="19"/>
        <v>48903</v>
      </c>
      <c r="J172" s="40">
        <v>170</v>
      </c>
      <c r="K172" s="41">
        <f t="shared" si="22"/>
        <v>5171</v>
      </c>
      <c r="L172" s="42">
        <f t="shared" si="23"/>
        <v>0</v>
      </c>
      <c r="M172" s="43">
        <f t="shared" si="24"/>
        <v>0</v>
      </c>
      <c r="N172" s="43">
        <f t="shared" si="25"/>
        <v>0</v>
      </c>
      <c r="O172" s="44">
        <f t="shared" si="26"/>
        <v>0</v>
      </c>
    </row>
    <row r="173" spans="1:15" ht="12.75">
      <c r="A173" s="159">
        <v>48933</v>
      </c>
      <c r="B173" s="35">
        <f>IF(DIAS365('CALCULADORA TIV V-1'!$E$6,A173)&lt;0,0,DIAS365('CALCULADORA TIV V-1'!$E$6,A173))</f>
        <v>3984</v>
      </c>
      <c r="C173" s="36">
        <f>+HLOOKUP('CALCULADORA TIV V-1'!$E$4,Tablas!$B$1:$B$181,Flujos!J173+1,FALSE)</f>
        <v>0</v>
      </c>
      <c r="D173" s="76">
        <f t="shared" si="18"/>
        <v>0</v>
      </c>
      <c r="E173" s="37">
        <f t="shared" si="20"/>
        <v>0</v>
      </c>
      <c r="F173" s="37">
        <f>ROUND(D172*ROUND(((1+'CALCULADORA TIV V-1'!$C$14)^(1/12)-1),6),6)</f>
        <v>0</v>
      </c>
      <c r="G173" s="37">
        <f t="shared" si="21"/>
        <v>0</v>
      </c>
      <c r="H173" s="38">
        <f>IF($B173=0,0,G173/POWER(1+'CALCULADORA TIV V-1'!$F$11,Flujos!$B173/365))</f>
        <v>0</v>
      </c>
      <c r="I173" s="39">
        <f t="shared" si="19"/>
        <v>48933</v>
      </c>
      <c r="J173" s="40">
        <v>171</v>
      </c>
      <c r="K173" s="41">
        <f t="shared" si="22"/>
        <v>5201</v>
      </c>
      <c r="L173" s="42">
        <f t="shared" si="23"/>
        <v>0</v>
      </c>
      <c r="M173" s="43">
        <f t="shared" si="24"/>
        <v>0</v>
      </c>
      <c r="N173" s="43">
        <f t="shared" si="25"/>
        <v>0</v>
      </c>
      <c r="O173" s="44">
        <f t="shared" si="26"/>
        <v>0</v>
      </c>
    </row>
    <row r="174" spans="1:15" ht="12.75">
      <c r="A174" s="159">
        <v>48964</v>
      </c>
      <c r="B174" s="35">
        <f>IF(DIAS365('CALCULADORA TIV V-1'!$E$6,A174)&lt;0,0,DIAS365('CALCULADORA TIV V-1'!$E$6,A174))</f>
        <v>4015</v>
      </c>
      <c r="C174" s="36">
        <f>+HLOOKUP('CALCULADORA TIV V-1'!$E$4,Tablas!$B$1:$B$181,Flujos!J174+1,FALSE)</f>
        <v>0</v>
      </c>
      <c r="D174" s="76">
        <f t="shared" si="18"/>
        <v>0</v>
      </c>
      <c r="E174" s="37">
        <f t="shared" si="20"/>
        <v>0</v>
      </c>
      <c r="F174" s="37">
        <f>ROUND(D173*ROUND(((1+'CALCULADORA TIV V-1'!$C$14)^(1/12)-1),6),6)</f>
        <v>0</v>
      </c>
      <c r="G174" s="37">
        <f t="shared" si="21"/>
        <v>0</v>
      </c>
      <c r="H174" s="38">
        <f>IF($B174=0,0,G174/POWER(1+'CALCULADORA TIV V-1'!$F$11,Flujos!$B174/365))</f>
        <v>0</v>
      </c>
      <c r="I174" s="39">
        <f t="shared" si="19"/>
        <v>48964</v>
      </c>
      <c r="J174" s="40">
        <v>172</v>
      </c>
      <c r="K174" s="41">
        <f t="shared" si="22"/>
        <v>5232</v>
      </c>
      <c r="L174" s="42">
        <f t="shared" si="23"/>
        <v>0</v>
      </c>
      <c r="M174" s="43">
        <f t="shared" si="24"/>
        <v>0</v>
      </c>
      <c r="N174" s="43">
        <f t="shared" si="25"/>
        <v>0</v>
      </c>
      <c r="O174" s="44">
        <f t="shared" si="26"/>
        <v>0</v>
      </c>
    </row>
    <row r="175" spans="1:15" ht="12.75">
      <c r="A175" s="159">
        <v>48995</v>
      </c>
      <c r="B175" s="35">
        <f>IF(DIAS365('CALCULADORA TIV V-1'!$E$6,A175)&lt;0,0,DIAS365('CALCULADORA TIV V-1'!$E$6,A175))</f>
        <v>4046</v>
      </c>
      <c r="C175" s="36">
        <f>+HLOOKUP('CALCULADORA TIV V-1'!$E$4,Tablas!$B$1:$B$181,Flujos!J175+1,FALSE)</f>
        <v>0</v>
      </c>
      <c r="D175" s="76">
        <f t="shared" si="18"/>
        <v>0</v>
      </c>
      <c r="E175" s="37">
        <f t="shared" si="20"/>
        <v>0</v>
      </c>
      <c r="F175" s="37">
        <f>ROUND(D174*ROUND(((1+'CALCULADORA TIV V-1'!$C$14)^(1/12)-1),6),6)</f>
        <v>0</v>
      </c>
      <c r="G175" s="37">
        <f t="shared" si="21"/>
        <v>0</v>
      </c>
      <c r="H175" s="38">
        <f>IF($B175=0,0,G175/POWER(1+'CALCULADORA TIV V-1'!$F$11,Flujos!$B175/365))</f>
        <v>0</v>
      </c>
      <c r="I175" s="39">
        <f t="shared" si="19"/>
        <v>48995</v>
      </c>
      <c r="J175" s="40">
        <v>173</v>
      </c>
      <c r="K175" s="41">
        <f t="shared" si="22"/>
        <v>5263</v>
      </c>
      <c r="L175" s="42">
        <f t="shared" si="23"/>
        <v>0</v>
      </c>
      <c r="M175" s="43">
        <f t="shared" si="24"/>
        <v>0</v>
      </c>
      <c r="N175" s="43">
        <f t="shared" si="25"/>
        <v>0</v>
      </c>
      <c r="O175" s="44">
        <f t="shared" si="26"/>
        <v>0</v>
      </c>
    </row>
    <row r="176" spans="1:15" ht="12.75">
      <c r="A176" s="159">
        <v>49023</v>
      </c>
      <c r="B176" s="35">
        <f>IF(DIAS365('CALCULADORA TIV V-1'!$E$6,A176)&lt;0,0,DIAS365('CALCULADORA TIV V-1'!$E$6,A176))</f>
        <v>4074</v>
      </c>
      <c r="C176" s="36">
        <f>+HLOOKUP('CALCULADORA TIV V-1'!$E$4,Tablas!$B$1:$B$181,Flujos!J176+1,FALSE)</f>
        <v>0</v>
      </c>
      <c r="D176" s="76">
        <f t="shared" si="18"/>
        <v>0</v>
      </c>
      <c r="E176" s="37">
        <f t="shared" si="20"/>
        <v>0</v>
      </c>
      <c r="F176" s="37">
        <f>ROUND(D175*ROUND(((1+'CALCULADORA TIV V-1'!$C$14)^(1/12)-1),6),6)</f>
        <v>0</v>
      </c>
      <c r="G176" s="37">
        <f t="shared" si="21"/>
        <v>0</v>
      </c>
      <c r="H176" s="38">
        <f>IF($B176=0,0,G176/POWER(1+'CALCULADORA TIV V-1'!$F$11,Flujos!$B176/365))</f>
        <v>0</v>
      </c>
      <c r="I176" s="39">
        <f t="shared" si="19"/>
        <v>49023</v>
      </c>
      <c r="J176" s="40">
        <v>174</v>
      </c>
      <c r="K176" s="41">
        <f t="shared" si="22"/>
        <v>5291</v>
      </c>
      <c r="L176" s="42">
        <f t="shared" si="23"/>
        <v>0</v>
      </c>
      <c r="M176" s="43">
        <f t="shared" si="24"/>
        <v>0</v>
      </c>
      <c r="N176" s="43">
        <f t="shared" si="25"/>
        <v>0</v>
      </c>
      <c r="O176" s="44">
        <f t="shared" si="26"/>
        <v>0</v>
      </c>
    </row>
    <row r="177" spans="1:15" ht="12.75">
      <c r="A177" s="159">
        <v>49054</v>
      </c>
      <c r="B177" s="35">
        <f>IF(DIAS365('CALCULADORA TIV V-1'!$E$6,A177)&lt;0,0,DIAS365('CALCULADORA TIV V-1'!$E$6,A177))</f>
        <v>4105</v>
      </c>
      <c r="C177" s="36">
        <f>+HLOOKUP('CALCULADORA TIV V-1'!$E$4,Tablas!$B$1:$B$181,Flujos!J177+1,FALSE)</f>
        <v>0</v>
      </c>
      <c r="D177" s="76">
        <f t="shared" si="18"/>
        <v>0</v>
      </c>
      <c r="E177" s="37">
        <f t="shared" si="20"/>
        <v>0</v>
      </c>
      <c r="F177" s="37">
        <f>ROUND(D176*ROUND(((1+'CALCULADORA TIV V-1'!$C$14)^(1/12)-1),6),6)</f>
        <v>0</v>
      </c>
      <c r="G177" s="37">
        <f t="shared" si="21"/>
        <v>0</v>
      </c>
      <c r="H177" s="38">
        <f>IF($B177=0,0,G177/POWER(1+'CALCULADORA TIV V-1'!$F$11,Flujos!$B177/365))</f>
        <v>0</v>
      </c>
      <c r="I177" s="39">
        <f t="shared" si="19"/>
        <v>49054</v>
      </c>
      <c r="J177" s="40">
        <v>175</v>
      </c>
      <c r="K177" s="41">
        <f t="shared" si="22"/>
        <v>5322</v>
      </c>
      <c r="L177" s="42">
        <f t="shared" si="23"/>
        <v>0</v>
      </c>
      <c r="M177" s="43">
        <f t="shared" si="24"/>
        <v>0</v>
      </c>
      <c r="N177" s="43">
        <f t="shared" si="25"/>
        <v>0</v>
      </c>
      <c r="O177" s="44">
        <f t="shared" si="26"/>
        <v>0</v>
      </c>
    </row>
    <row r="178" spans="1:15" ht="12.75">
      <c r="A178" s="159">
        <v>49084</v>
      </c>
      <c r="B178" s="35">
        <f>IF(DIAS365('CALCULADORA TIV V-1'!$E$6,A178)&lt;0,0,DIAS365('CALCULADORA TIV V-1'!$E$6,A178))</f>
        <v>4135</v>
      </c>
      <c r="C178" s="36">
        <f>+HLOOKUP('CALCULADORA TIV V-1'!$E$4,Tablas!$B$1:$B$181,Flujos!J178+1,FALSE)</f>
        <v>0</v>
      </c>
      <c r="D178" s="76">
        <f t="shared" si="18"/>
        <v>0</v>
      </c>
      <c r="E178" s="37">
        <f t="shared" si="20"/>
        <v>0</v>
      </c>
      <c r="F178" s="37">
        <f>ROUND(D177*ROUND(((1+'CALCULADORA TIV V-1'!$C$14)^(1/12)-1),6),6)</f>
        <v>0</v>
      </c>
      <c r="G178" s="37">
        <f t="shared" si="21"/>
        <v>0</v>
      </c>
      <c r="H178" s="38">
        <f>IF($B178=0,0,G178/POWER(1+'CALCULADORA TIV V-1'!$F$11,Flujos!$B178/365))</f>
        <v>0</v>
      </c>
      <c r="I178" s="39">
        <f t="shared" si="19"/>
        <v>49084</v>
      </c>
      <c r="J178" s="40">
        <v>176</v>
      </c>
      <c r="K178" s="41">
        <f t="shared" si="22"/>
        <v>5352</v>
      </c>
      <c r="L178" s="42">
        <f t="shared" si="23"/>
        <v>0</v>
      </c>
      <c r="M178" s="43">
        <f t="shared" si="24"/>
        <v>0</v>
      </c>
      <c r="N178" s="43">
        <f t="shared" si="25"/>
        <v>0</v>
      </c>
      <c r="O178" s="44">
        <f t="shared" si="26"/>
        <v>0</v>
      </c>
    </row>
    <row r="179" spans="1:15" ht="12.75">
      <c r="A179" s="159">
        <v>49115</v>
      </c>
      <c r="B179" s="35">
        <f>IF(DIAS365('CALCULADORA TIV V-1'!$E$6,A179)&lt;0,0,DIAS365('CALCULADORA TIV V-1'!$E$6,A179))</f>
        <v>4166</v>
      </c>
      <c r="C179" s="36">
        <f>+HLOOKUP('CALCULADORA TIV V-1'!$E$4,Tablas!$B$1:$B$181,Flujos!J179+1,FALSE)</f>
        <v>0</v>
      </c>
      <c r="D179" s="76">
        <f t="shared" si="18"/>
        <v>0</v>
      </c>
      <c r="E179" s="37">
        <f t="shared" si="20"/>
        <v>0</v>
      </c>
      <c r="F179" s="37">
        <f>ROUND(D178*ROUND(((1+'CALCULADORA TIV V-1'!$C$14)^(1/12)-1),6),6)</f>
        <v>0</v>
      </c>
      <c r="G179" s="37">
        <f t="shared" si="21"/>
        <v>0</v>
      </c>
      <c r="H179" s="38">
        <f>IF($B179=0,0,G179/POWER(1+'CALCULADORA TIV V-1'!$F$11,Flujos!$B179/365))</f>
        <v>0</v>
      </c>
      <c r="I179" s="39">
        <f t="shared" si="19"/>
        <v>49115</v>
      </c>
      <c r="J179" s="40">
        <v>177</v>
      </c>
      <c r="K179" s="41">
        <f t="shared" si="22"/>
        <v>5383</v>
      </c>
      <c r="L179" s="42">
        <f t="shared" si="23"/>
        <v>0</v>
      </c>
      <c r="M179" s="43">
        <f t="shared" si="24"/>
        <v>0</v>
      </c>
      <c r="N179" s="43">
        <f t="shared" si="25"/>
        <v>0</v>
      </c>
      <c r="O179" s="44">
        <f t="shared" si="26"/>
        <v>0</v>
      </c>
    </row>
    <row r="180" spans="1:15" ht="12.75">
      <c r="A180" s="159">
        <v>49145</v>
      </c>
      <c r="B180" s="35">
        <f>IF(DIAS365('CALCULADORA TIV V-1'!$E$6,A180)&lt;0,0,DIAS365('CALCULADORA TIV V-1'!$E$6,A180))</f>
        <v>4196</v>
      </c>
      <c r="C180" s="36">
        <f>+HLOOKUP('CALCULADORA TIV V-1'!$E$4,Tablas!$B$1:$B$181,Flujos!J180+1,FALSE)</f>
        <v>0</v>
      </c>
      <c r="D180" s="76">
        <f t="shared" si="18"/>
        <v>0</v>
      </c>
      <c r="E180" s="37">
        <f t="shared" si="20"/>
        <v>0</v>
      </c>
      <c r="F180" s="37">
        <f>ROUND(D179*ROUND(((1+'CALCULADORA TIV V-1'!$C$14)^(1/12)-1),6),6)</f>
        <v>0</v>
      </c>
      <c r="G180" s="37">
        <f t="shared" si="21"/>
        <v>0</v>
      </c>
      <c r="H180" s="38">
        <f>IF($B180=0,0,G180/POWER(1+'CALCULADORA TIV V-1'!$F$11,Flujos!$B180/365))</f>
        <v>0</v>
      </c>
      <c r="I180" s="39">
        <f t="shared" si="19"/>
        <v>49145</v>
      </c>
      <c r="J180" s="40">
        <v>178</v>
      </c>
      <c r="K180" s="41">
        <f t="shared" si="22"/>
        <v>5413</v>
      </c>
      <c r="L180" s="42">
        <f t="shared" si="23"/>
        <v>0</v>
      </c>
      <c r="M180" s="43">
        <f t="shared" si="24"/>
        <v>0</v>
      </c>
      <c r="N180" s="43">
        <f t="shared" si="25"/>
        <v>0</v>
      </c>
      <c r="O180" s="44">
        <f t="shared" si="26"/>
        <v>0</v>
      </c>
    </row>
    <row r="181" spans="1:15" ht="12.75">
      <c r="A181" s="159">
        <v>49176</v>
      </c>
      <c r="B181" s="35">
        <f>IF(DIAS365('CALCULADORA TIV V-1'!$E$6,A181)&lt;0,0,DIAS365('CALCULADORA TIV V-1'!$E$6,A181))</f>
        <v>4227</v>
      </c>
      <c r="C181" s="36">
        <f>+HLOOKUP('CALCULADORA TIV V-1'!$E$4,Tablas!$B$1:$B$181,Flujos!J181+1,FALSE)</f>
        <v>0</v>
      </c>
      <c r="D181" s="76">
        <f t="shared" si="18"/>
        <v>0</v>
      </c>
      <c r="E181" s="37">
        <f t="shared" si="20"/>
        <v>0</v>
      </c>
      <c r="F181" s="37">
        <f>ROUND(D180*ROUND(((1+'CALCULADORA TIV V-1'!$C$14)^(1/12)-1),6),6)</f>
        <v>0</v>
      </c>
      <c r="G181" s="37">
        <f t="shared" si="21"/>
        <v>0</v>
      </c>
      <c r="H181" s="38">
        <f>IF($B181=0,0,G181/POWER(1+'CALCULADORA TIV V-1'!$F$11,Flujos!$B181/365))</f>
        <v>0</v>
      </c>
      <c r="I181" s="39">
        <f t="shared" si="19"/>
        <v>49176</v>
      </c>
      <c r="J181" s="40">
        <v>179</v>
      </c>
      <c r="K181" s="41">
        <f t="shared" si="22"/>
        <v>5444</v>
      </c>
      <c r="L181" s="42">
        <f t="shared" si="23"/>
        <v>0</v>
      </c>
      <c r="M181" s="43">
        <f t="shared" si="24"/>
        <v>0</v>
      </c>
      <c r="N181" s="43">
        <f t="shared" si="25"/>
        <v>0</v>
      </c>
      <c r="O181" s="44">
        <f t="shared" si="26"/>
        <v>0</v>
      </c>
    </row>
    <row r="182" spans="1:15" ht="13.5" thickBot="1">
      <c r="A182" s="159">
        <v>49207</v>
      </c>
      <c r="B182" s="35">
        <f>IF(DIAS365('CALCULADORA TIV V-1'!$E$6,A182)&lt;0,0,DIAS365('CALCULADORA TIV V-1'!$E$6,A182))</f>
        <v>4258</v>
      </c>
      <c r="C182" s="36">
        <f>+HLOOKUP('CALCULADORA TIV V-1'!$E$4,Tablas!$B$1:$B$181,Flujos!J182+1,FALSE)</f>
        <v>0</v>
      </c>
      <c r="D182" s="76">
        <f t="shared" si="18"/>
        <v>0</v>
      </c>
      <c r="E182" s="37">
        <f t="shared" si="20"/>
        <v>0</v>
      </c>
      <c r="F182" s="37">
        <f>ROUND(D181*ROUND(((1+'CALCULADORA TIV V-1'!$C$14)^(1/12)-1),6),6)</f>
        <v>0</v>
      </c>
      <c r="G182" s="37">
        <f t="shared" si="21"/>
        <v>0</v>
      </c>
      <c r="H182" s="38">
        <f>IF($B182=0,0,G182/POWER(1+'CALCULADORA TIV V-1'!$F$11,Flujos!$B182/365))</f>
        <v>0</v>
      </c>
      <c r="I182" s="45">
        <f t="shared" si="19"/>
        <v>49207</v>
      </c>
      <c r="J182" s="46">
        <v>180</v>
      </c>
      <c r="K182" s="47">
        <f t="shared" si="22"/>
        <v>5475</v>
      </c>
      <c r="L182" s="42">
        <f t="shared" si="23"/>
        <v>0</v>
      </c>
      <c r="M182" s="48">
        <f t="shared" si="24"/>
        <v>0</v>
      </c>
      <c r="N182" s="48">
        <f t="shared" si="25"/>
        <v>0</v>
      </c>
      <c r="O182" s="49">
        <f t="shared" si="26"/>
        <v>0</v>
      </c>
    </row>
    <row r="183" spans="1:15" ht="13.5" thickBot="1">
      <c r="A183" s="50"/>
      <c r="B183" s="51"/>
      <c r="C183" s="52">
        <f>+SUMIF(B2:B182,"&gt;0",C2:C182)</f>
        <v>0.02950645</v>
      </c>
      <c r="D183" s="53"/>
      <c r="E183" s="54">
        <f>SUM(E2:E182)</f>
        <v>99.99999999999999</v>
      </c>
      <c r="F183" s="54">
        <f>SUM(F2:F182)</f>
        <v>13.231769000000002</v>
      </c>
      <c r="G183" s="54">
        <f>SUM(G2:G182)</f>
        <v>113.23176899999996</v>
      </c>
      <c r="H183" s="55">
        <f>SUM(H2:H182)</f>
        <v>2.950291960906362</v>
      </c>
      <c r="I183" s="56"/>
      <c r="L183" s="58" t="s">
        <v>36</v>
      </c>
      <c r="M183" s="59">
        <f>SUM(M2:M182)</f>
        <v>80287774019.34717</v>
      </c>
      <c r="N183" s="59">
        <f>SUM(N2:N182)</f>
        <v>10623493065.049004</v>
      </c>
      <c r="O183" s="60">
        <f>SUM(O2:O182)</f>
        <v>90911267084.39621</v>
      </c>
    </row>
  </sheetData>
  <sheetProtection password="C5F9" sheet="1" objects="1" scenarios="1"/>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dimension ref="A1:M185"/>
  <sheetViews>
    <sheetView view="pageBreakPreview" zoomScale="90" zoomScaleSheetLayoutView="90" zoomScalePageLayoutView="0" workbookViewId="0" topLeftCell="A1">
      <pane xSplit="1" ySplit="2" topLeftCell="B15" activePane="bottomRight" state="frozen"/>
      <selection pane="topLeft" activeCell="A1" sqref="A1"/>
      <selection pane="topRight" activeCell="B1" sqref="B1"/>
      <selection pane="bottomLeft" activeCell="A3" sqref="A3"/>
      <selection pane="bottomRight" activeCell="D47" sqref="D47"/>
    </sheetView>
  </sheetViews>
  <sheetFormatPr defaultColWidth="11.421875" defaultRowHeight="12.75"/>
  <cols>
    <col min="1" max="1" width="13.28125" style="6" bestFit="1" customWidth="1"/>
    <col min="2" max="2" width="30.28125" style="6" bestFit="1" customWidth="1"/>
    <col min="3" max="3" width="3.421875" style="6" customWidth="1"/>
    <col min="4" max="4" width="30.28125" style="6" bestFit="1" customWidth="1"/>
    <col min="5" max="5" width="3.421875" style="6" customWidth="1"/>
    <col min="6" max="6" width="35.28125" style="6" bestFit="1" customWidth="1"/>
    <col min="7" max="7" width="3.421875" style="6" customWidth="1"/>
    <col min="8" max="8" width="29.57421875" style="6" bestFit="1" customWidth="1"/>
    <col min="9" max="9" width="3.421875" style="6" customWidth="1"/>
    <col min="10" max="10" width="29.57421875" style="6" bestFit="1" customWidth="1"/>
    <col min="11" max="11" width="4.8515625" style="6" customWidth="1"/>
    <col min="12" max="12" width="29.140625" style="6" bestFit="1" customWidth="1"/>
    <col min="13" max="19" width="0" style="6" hidden="1" customWidth="1"/>
    <col min="20" max="16384" width="11.421875" style="6" customWidth="1"/>
  </cols>
  <sheetData>
    <row r="1" spans="1:12" ht="13.5" thickBot="1">
      <c r="A1" s="209" t="s">
        <v>0</v>
      </c>
      <c r="B1" s="74" t="s">
        <v>41</v>
      </c>
      <c r="D1" s="74" t="s">
        <v>42</v>
      </c>
      <c r="F1" s="74" t="s">
        <v>43</v>
      </c>
      <c r="H1" s="74" t="s">
        <v>44</v>
      </c>
      <c r="J1" s="74" t="s">
        <v>45</v>
      </c>
      <c r="L1" s="74" t="s">
        <v>1</v>
      </c>
    </row>
    <row r="2" spans="1:12" ht="13.5" thickBot="1">
      <c r="A2" s="210"/>
      <c r="B2" s="84" t="str">
        <f>+Características!$B$1</f>
        <v>TIV V-1 2024</v>
      </c>
      <c r="D2" s="84" t="str">
        <f>+Características!$B$1</f>
        <v>TIV V-1 2024</v>
      </c>
      <c r="F2" s="84" t="str">
        <f>+Características!$B$1</f>
        <v>TIV V-1 2024</v>
      </c>
      <c r="H2" s="84" t="str">
        <f>+Características!$B$1</f>
        <v>TIV V-1 2024</v>
      </c>
      <c r="J2" s="84" t="str">
        <f>+Características!$B$1</f>
        <v>TIV V-1 2024</v>
      </c>
      <c r="K2" s="85"/>
      <c r="L2" s="84" t="str">
        <f>+Características!$B$1</f>
        <v>TIV V-1 2024</v>
      </c>
    </row>
    <row r="3" spans="1:12" ht="15">
      <c r="A3" s="161">
        <v>43758</v>
      </c>
      <c r="B3" s="214">
        <v>0.0225</v>
      </c>
      <c r="C3" s="73"/>
      <c r="D3" s="167">
        <v>0.0225</v>
      </c>
      <c r="E3" s="192"/>
      <c r="F3" s="167">
        <v>0.0225</v>
      </c>
      <c r="G3" s="190"/>
      <c r="H3" s="167">
        <v>0.0225</v>
      </c>
      <c r="I3" s="190"/>
      <c r="J3" s="167">
        <v>0.0225</v>
      </c>
      <c r="K3" s="190"/>
      <c r="L3" s="167">
        <v>0.0225</v>
      </c>
    </row>
    <row r="4" spans="1:12" ht="15">
      <c r="A4" s="161">
        <v>43789</v>
      </c>
      <c r="B4" s="214">
        <v>0.0225</v>
      </c>
      <c r="C4" s="73"/>
      <c r="D4" s="167">
        <v>0.0225</v>
      </c>
      <c r="E4" s="192"/>
      <c r="F4" s="167">
        <v>0.0225</v>
      </c>
      <c r="G4" s="190"/>
      <c r="H4" s="167">
        <v>0.0225</v>
      </c>
      <c r="I4" s="190"/>
      <c r="J4" s="167">
        <v>0.0225</v>
      </c>
      <c r="K4" s="190"/>
      <c r="L4" s="167">
        <v>0.0225</v>
      </c>
    </row>
    <row r="5" spans="1:12" ht="15">
      <c r="A5" s="161">
        <v>43819</v>
      </c>
      <c r="B5" s="214">
        <v>0.0225</v>
      </c>
      <c r="C5" s="73"/>
      <c r="D5" s="167">
        <v>0.0225</v>
      </c>
      <c r="E5" s="192"/>
      <c r="F5" s="167">
        <v>0.0225</v>
      </c>
      <c r="G5" s="190"/>
      <c r="H5" s="167">
        <v>0.0225</v>
      </c>
      <c r="I5" s="190"/>
      <c r="J5" s="167">
        <v>0.0225</v>
      </c>
      <c r="K5" s="190"/>
      <c r="L5" s="167">
        <v>0.0225</v>
      </c>
    </row>
    <row r="6" spans="1:12" ht="15">
      <c r="A6" s="161">
        <v>43850</v>
      </c>
      <c r="B6" s="214">
        <v>0.0225</v>
      </c>
      <c r="C6" s="73"/>
      <c r="D6" s="167">
        <v>0.0225</v>
      </c>
      <c r="E6" s="192"/>
      <c r="F6" s="167">
        <v>0.0225</v>
      </c>
      <c r="G6" s="190"/>
      <c r="H6" s="167">
        <v>0.0225</v>
      </c>
      <c r="I6" s="190"/>
      <c r="J6" s="167">
        <v>0.0225</v>
      </c>
      <c r="K6" s="190"/>
      <c r="L6" s="167">
        <v>0.0225</v>
      </c>
    </row>
    <row r="7" spans="1:12" ht="15">
      <c r="A7" s="161">
        <v>43881</v>
      </c>
      <c r="B7" s="214">
        <v>0.0225</v>
      </c>
      <c r="C7" s="73"/>
      <c r="D7" s="167">
        <v>0.0225</v>
      </c>
      <c r="E7" s="192"/>
      <c r="F7" s="167">
        <v>0.0225</v>
      </c>
      <c r="G7" s="190"/>
      <c r="H7" s="167">
        <v>0.0225</v>
      </c>
      <c r="I7" s="190"/>
      <c r="J7" s="167">
        <v>0.0225</v>
      </c>
      <c r="K7" s="190"/>
      <c r="L7" s="167">
        <v>0.0225</v>
      </c>
    </row>
    <row r="8" spans="1:12" ht="15">
      <c r="A8" s="161">
        <v>43910</v>
      </c>
      <c r="B8" s="214">
        <v>0.0225</v>
      </c>
      <c r="C8" s="73"/>
      <c r="D8" s="167">
        <v>0.0225</v>
      </c>
      <c r="E8" s="192"/>
      <c r="F8" s="167">
        <v>0.0225</v>
      </c>
      <c r="G8" s="190"/>
      <c r="H8" s="167">
        <v>0.0225</v>
      </c>
      <c r="I8" s="190"/>
      <c r="J8" s="167">
        <v>0.0225</v>
      </c>
      <c r="K8" s="190"/>
      <c r="L8" s="167">
        <v>0.0225</v>
      </c>
    </row>
    <row r="9" spans="1:12" s="83" customFormat="1" ht="15">
      <c r="A9" s="161">
        <v>43941</v>
      </c>
      <c r="B9" s="214">
        <v>0.02739424</v>
      </c>
      <c r="C9" s="73"/>
      <c r="D9" s="167">
        <v>0.02739424</v>
      </c>
      <c r="E9" s="192"/>
      <c r="F9" s="167">
        <v>0.02739424</v>
      </c>
      <c r="G9" s="190"/>
      <c r="H9" s="167">
        <v>0.02739424</v>
      </c>
      <c r="I9" s="190"/>
      <c r="J9" s="167">
        <v>0.02739424</v>
      </c>
      <c r="K9" s="190"/>
      <c r="L9" s="167">
        <v>0.02739424</v>
      </c>
    </row>
    <row r="10" spans="1:12" s="83" customFormat="1" ht="15">
      <c r="A10" s="161">
        <v>43971</v>
      </c>
      <c r="B10" s="214">
        <v>0.02897453</v>
      </c>
      <c r="C10" s="73"/>
      <c r="D10" s="167">
        <v>0.02897453</v>
      </c>
      <c r="E10" s="192"/>
      <c r="F10" s="167">
        <v>0.02897453</v>
      </c>
      <c r="G10" s="190"/>
      <c r="H10" s="167">
        <v>0.02897453</v>
      </c>
      <c r="I10" s="190"/>
      <c r="J10" s="167">
        <v>0.02897453</v>
      </c>
      <c r="K10" s="190"/>
      <c r="L10" s="167">
        <v>0.02897453</v>
      </c>
    </row>
    <row r="11" spans="1:12" s="83" customFormat="1" ht="15">
      <c r="A11" s="161">
        <v>44002</v>
      </c>
      <c r="B11" s="214">
        <v>0.04062193</v>
      </c>
      <c r="C11" s="73"/>
      <c r="D11" s="167">
        <v>0.04062193</v>
      </c>
      <c r="E11" s="192"/>
      <c r="F11" s="167">
        <v>0.04062193</v>
      </c>
      <c r="G11" s="190"/>
      <c r="H11" s="167">
        <v>0.04062193</v>
      </c>
      <c r="I11" s="190"/>
      <c r="J11" s="167">
        <v>0.04062193</v>
      </c>
      <c r="K11" s="190"/>
      <c r="L11" s="167">
        <v>0.04062193</v>
      </c>
    </row>
    <row r="12" spans="1:12" s="83" customFormat="1" ht="15">
      <c r="A12" s="158">
        <v>44032</v>
      </c>
      <c r="B12" s="214">
        <v>0.04297112</v>
      </c>
      <c r="C12" s="82"/>
      <c r="D12" s="167">
        <v>0.04297112</v>
      </c>
      <c r="E12" s="192"/>
      <c r="F12" s="167">
        <v>0.04297112</v>
      </c>
      <c r="G12" s="190"/>
      <c r="H12" s="167">
        <v>0.04297112</v>
      </c>
      <c r="I12" s="190"/>
      <c r="J12" s="167">
        <v>0.04297112</v>
      </c>
      <c r="K12" s="190"/>
      <c r="L12" s="167">
        <v>0.04297112</v>
      </c>
    </row>
    <row r="13" spans="1:12" s="83" customFormat="1" ht="15">
      <c r="A13" s="158">
        <v>44063</v>
      </c>
      <c r="B13" s="214">
        <v>0.05026259</v>
      </c>
      <c r="C13" s="82"/>
      <c r="D13" s="167">
        <v>0.05026259</v>
      </c>
      <c r="E13" s="192"/>
      <c r="F13" s="167">
        <v>0.05026259</v>
      </c>
      <c r="G13" s="190"/>
      <c r="H13" s="167">
        <v>0.05026259</v>
      </c>
      <c r="I13" s="190"/>
      <c r="J13" s="167">
        <v>0.05026259</v>
      </c>
      <c r="K13" s="190"/>
      <c r="L13" s="167">
        <v>0.05026259</v>
      </c>
    </row>
    <row r="14" spans="1:12" s="83" customFormat="1" ht="15">
      <c r="A14" s="158">
        <v>44094</v>
      </c>
      <c r="B14" s="214">
        <v>0.0459419</v>
      </c>
      <c r="C14" s="82"/>
      <c r="D14" s="167">
        <v>0.0459419</v>
      </c>
      <c r="E14" s="192"/>
      <c r="F14" s="167">
        <v>0.0459419</v>
      </c>
      <c r="G14" s="190"/>
      <c r="H14" s="167">
        <v>0.0459419</v>
      </c>
      <c r="I14" s="190"/>
      <c r="J14" s="167">
        <v>0.0459419</v>
      </c>
      <c r="K14" s="190"/>
      <c r="L14" s="167">
        <v>0.0459419</v>
      </c>
    </row>
    <row r="15" spans="1:12" ht="15">
      <c r="A15" s="161">
        <v>44124</v>
      </c>
      <c r="B15" s="214">
        <v>0.04913667</v>
      </c>
      <c r="C15" s="73"/>
      <c r="D15" s="167">
        <v>0.04913667</v>
      </c>
      <c r="E15" s="192"/>
      <c r="F15" s="167">
        <v>0.04913667</v>
      </c>
      <c r="G15" s="190"/>
      <c r="H15" s="167">
        <v>0.04913667</v>
      </c>
      <c r="I15" s="190"/>
      <c r="J15" s="167">
        <v>0.04913667</v>
      </c>
      <c r="K15" s="190"/>
      <c r="L15" s="167">
        <v>0.04913667</v>
      </c>
    </row>
    <row r="16" spans="1:12" ht="15">
      <c r="A16" s="158">
        <v>44155</v>
      </c>
      <c r="B16" s="214">
        <v>0.0562933</v>
      </c>
      <c r="C16" s="73"/>
      <c r="D16" s="167">
        <v>0.0562933</v>
      </c>
      <c r="E16" s="192"/>
      <c r="F16" s="167">
        <v>0.0562933</v>
      </c>
      <c r="G16" s="190"/>
      <c r="H16" s="167">
        <v>0.0562933</v>
      </c>
      <c r="I16" s="190"/>
      <c r="J16" s="167">
        <v>0.0562933</v>
      </c>
      <c r="K16" s="190"/>
      <c r="L16" s="167">
        <v>0.0562933</v>
      </c>
    </row>
    <row r="17" spans="1:12" ht="15">
      <c r="A17" s="158">
        <v>44185</v>
      </c>
      <c r="B17" s="214">
        <v>0</v>
      </c>
      <c r="C17" s="73"/>
      <c r="D17" s="167">
        <v>0</v>
      </c>
      <c r="E17" s="192"/>
      <c r="F17" s="167">
        <v>0</v>
      </c>
      <c r="G17" s="190"/>
      <c r="H17" s="167">
        <v>0</v>
      </c>
      <c r="I17" s="190"/>
      <c r="J17" s="167">
        <v>0</v>
      </c>
      <c r="K17" s="190"/>
      <c r="L17" s="167">
        <v>0</v>
      </c>
    </row>
    <row r="18" spans="1:12" ht="15">
      <c r="A18" s="161">
        <v>44216</v>
      </c>
      <c r="B18" s="214">
        <v>0</v>
      </c>
      <c r="C18" s="73"/>
      <c r="D18" s="167">
        <v>0</v>
      </c>
      <c r="E18" s="192"/>
      <c r="F18" s="167">
        <v>0</v>
      </c>
      <c r="G18" s="190"/>
      <c r="H18" s="167">
        <v>0</v>
      </c>
      <c r="I18" s="190"/>
      <c r="J18" s="167">
        <v>0</v>
      </c>
      <c r="K18" s="190"/>
      <c r="L18" s="167">
        <v>0</v>
      </c>
    </row>
    <row r="19" spans="1:12" ht="15">
      <c r="A19" s="161">
        <v>44247</v>
      </c>
      <c r="B19" s="214">
        <v>0</v>
      </c>
      <c r="C19" s="73"/>
      <c r="D19" s="167">
        <v>0</v>
      </c>
      <c r="E19" s="192"/>
      <c r="F19" s="167">
        <v>0</v>
      </c>
      <c r="G19" s="190"/>
      <c r="H19" s="167">
        <v>0</v>
      </c>
      <c r="I19" s="190"/>
      <c r="J19" s="167">
        <v>0</v>
      </c>
      <c r="K19" s="190"/>
      <c r="L19" s="167">
        <v>0</v>
      </c>
    </row>
    <row r="20" spans="1:12" ht="15">
      <c r="A20" s="161">
        <v>44275</v>
      </c>
      <c r="B20" s="214">
        <v>0.04640189</v>
      </c>
      <c r="C20" s="73"/>
      <c r="D20" s="167">
        <v>0.04640189</v>
      </c>
      <c r="E20" s="192"/>
      <c r="F20" s="167">
        <v>0.04640189</v>
      </c>
      <c r="G20" s="190"/>
      <c r="H20" s="167">
        <v>0.04640189</v>
      </c>
      <c r="I20" s="190"/>
      <c r="J20" s="167">
        <v>0.04640189</v>
      </c>
      <c r="K20" s="190"/>
      <c r="L20" s="167">
        <v>0.04640189</v>
      </c>
    </row>
    <row r="21" spans="1:12" ht="15">
      <c r="A21" s="161">
        <v>44306</v>
      </c>
      <c r="B21" s="214">
        <v>0</v>
      </c>
      <c r="C21" s="73"/>
      <c r="D21" s="167">
        <v>0</v>
      </c>
      <c r="E21" s="192"/>
      <c r="F21" s="167">
        <v>0</v>
      </c>
      <c r="G21" s="190"/>
      <c r="H21" s="167">
        <v>0</v>
      </c>
      <c r="I21" s="190"/>
      <c r="J21" s="167">
        <v>0</v>
      </c>
      <c r="K21" s="190"/>
      <c r="L21" s="167">
        <v>0</v>
      </c>
    </row>
    <row r="22" spans="1:12" ht="15">
      <c r="A22" s="158">
        <v>44336</v>
      </c>
      <c r="B22" s="214">
        <v>0</v>
      </c>
      <c r="C22" s="73"/>
      <c r="D22" s="167">
        <v>0</v>
      </c>
      <c r="E22" s="192"/>
      <c r="F22" s="167">
        <v>0</v>
      </c>
      <c r="G22" s="190"/>
      <c r="H22" s="167">
        <v>0</v>
      </c>
      <c r="I22" s="190"/>
      <c r="J22" s="167">
        <v>0</v>
      </c>
      <c r="K22" s="190"/>
      <c r="L22" s="167">
        <v>0</v>
      </c>
    </row>
    <row r="23" spans="1:12" ht="15">
      <c r="A23" s="158">
        <v>44367</v>
      </c>
      <c r="B23" s="214">
        <v>0</v>
      </c>
      <c r="C23" s="73"/>
      <c r="D23" s="167">
        <v>0</v>
      </c>
      <c r="E23" s="192"/>
      <c r="F23" s="167">
        <v>0</v>
      </c>
      <c r="G23" s="190"/>
      <c r="H23" s="167">
        <v>0</v>
      </c>
      <c r="I23" s="190"/>
      <c r="J23" s="167">
        <v>0</v>
      </c>
      <c r="K23" s="190"/>
      <c r="L23" s="167">
        <v>0</v>
      </c>
    </row>
    <row r="24" spans="1:12" ht="15">
      <c r="A24" s="161">
        <v>44397</v>
      </c>
      <c r="B24" s="214">
        <v>0</v>
      </c>
      <c r="C24" s="73"/>
      <c r="D24" s="167">
        <v>0</v>
      </c>
      <c r="E24" s="192"/>
      <c r="F24" s="167">
        <v>0</v>
      </c>
      <c r="G24" s="190"/>
      <c r="H24" s="167">
        <v>0</v>
      </c>
      <c r="I24" s="190"/>
      <c r="J24" s="167">
        <v>0</v>
      </c>
      <c r="K24" s="190"/>
      <c r="L24" s="167">
        <v>0</v>
      </c>
    </row>
    <row r="25" spans="1:12" ht="15">
      <c r="A25" s="161">
        <v>44428</v>
      </c>
      <c r="B25" s="214">
        <v>0</v>
      </c>
      <c r="C25" s="73"/>
      <c r="D25" s="167">
        <v>0</v>
      </c>
      <c r="E25" s="192"/>
      <c r="F25" s="167">
        <v>0</v>
      </c>
      <c r="G25" s="190"/>
      <c r="H25" s="167">
        <v>0</v>
      </c>
      <c r="I25" s="190"/>
      <c r="J25" s="167">
        <v>0</v>
      </c>
      <c r="K25" s="190"/>
      <c r="L25" s="167">
        <v>0</v>
      </c>
    </row>
    <row r="26" spans="1:12" ht="15">
      <c r="A26" s="161">
        <v>44459</v>
      </c>
      <c r="B26" s="214">
        <v>0.01700183</v>
      </c>
      <c r="C26" s="73"/>
      <c r="D26" s="167">
        <v>0.01700183</v>
      </c>
      <c r="E26" s="192"/>
      <c r="F26" s="167">
        <v>0.01700183</v>
      </c>
      <c r="G26" s="190"/>
      <c r="H26" s="167">
        <v>0.01700183</v>
      </c>
      <c r="I26" s="190"/>
      <c r="J26" s="167">
        <v>0.01700183</v>
      </c>
      <c r="K26" s="190"/>
      <c r="L26" s="167">
        <v>0.01700183</v>
      </c>
    </row>
    <row r="27" spans="1:12" ht="15">
      <c r="A27" s="161">
        <v>44489</v>
      </c>
      <c r="B27" s="214">
        <v>0.0225</v>
      </c>
      <c r="C27" s="73"/>
      <c r="D27" s="167">
        <v>0.0225</v>
      </c>
      <c r="E27" s="192"/>
      <c r="F27" s="167">
        <v>0.0225</v>
      </c>
      <c r="G27" s="190"/>
      <c r="H27" s="167">
        <v>0.0225</v>
      </c>
      <c r="I27" s="190"/>
      <c r="J27" s="167">
        <v>0.0225</v>
      </c>
      <c r="K27" s="190"/>
      <c r="L27" s="167">
        <v>0.0225</v>
      </c>
    </row>
    <row r="28" spans="1:12" ht="15">
      <c r="A28" s="161">
        <v>44520</v>
      </c>
      <c r="B28" s="214">
        <v>0.0225</v>
      </c>
      <c r="C28" s="73"/>
      <c r="D28" s="167">
        <v>0.0225</v>
      </c>
      <c r="E28" s="192"/>
      <c r="F28" s="167">
        <v>0.0225</v>
      </c>
      <c r="G28" s="190"/>
      <c r="H28" s="167">
        <v>0.0225</v>
      </c>
      <c r="I28" s="190"/>
      <c r="J28" s="167">
        <v>0.0225</v>
      </c>
      <c r="K28" s="190"/>
      <c r="L28" s="167">
        <v>0.0225</v>
      </c>
    </row>
    <row r="29" spans="1:12" ht="15">
      <c r="A29" s="161">
        <v>44550</v>
      </c>
      <c r="B29" s="214">
        <v>0.0225</v>
      </c>
      <c r="C29" s="73"/>
      <c r="D29" s="167">
        <v>0.0225</v>
      </c>
      <c r="E29" s="192"/>
      <c r="F29" s="167">
        <v>0.0225</v>
      </c>
      <c r="G29" s="190"/>
      <c r="H29" s="167">
        <v>0.0225</v>
      </c>
      <c r="I29" s="190"/>
      <c r="J29" s="167">
        <v>0.0225</v>
      </c>
      <c r="K29" s="190"/>
      <c r="L29" s="167">
        <v>0.0225</v>
      </c>
    </row>
    <row r="30" spans="1:12" ht="15">
      <c r="A30" s="161">
        <v>44581</v>
      </c>
      <c r="B30" s="214">
        <v>0.0225</v>
      </c>
      <c r="C30" s="73"/>
      <c r="D30" s="167">
        <v>0.0225</v>
      </c>
      <c r="E30" s="192"/>
      <c r="F30" s="167">
        <v>0.0225</v>
      </c>
      <c r="G30" s="190"/>
      <c r="H30" s="167">
        <v>0.0225</v>
      </c>
      <c r="I30" s="190"/>
      <c r="J30" s="167">
        <v>0.0225</v>
      </c>
      <c r="K30" s="190"/>
      <c r="L30" s="167">
        <v>0.0225</v>
      </c>
    </row>
    <row r="31" spans="1:12" ht="15">
      <c r="A31" s="161">
        <v>44612</v>
      </c>
      <c r="B31" s="214">
        <v>0.0225</v>
      </c>
      <c r="C31" s="73"/>
      <c r="D31" s="167">
        <v>0.0225</v>
      </c>
      <c r="E31" s="192"/>
      <c r="F31" s="167">
        <v>0.0225</v>
      </c>
      <c r="G31" s="190"/>
      <c r="H31" s="167">
        <v>0.0225</v>
      </c>
      <c r="I31" s="190"/>
      <c r="J31" s="167">
        <v>0.0225</v>
      </c>
      <c r="K31" s="190"/>
      <c r="L31" s="167">
        <v>0.0225</v>
      </c>
    </row>
    <row r="32" spans="1:12" ht="15">
      <c r="A32" s="161">
        <v>44640</v>
      </c>
      <c r="B32" s="214">
        <v>0.0225</v>
      </c>
      <c r="C32" s="73"/>
      <c r="D32" s="167">
        <v>0.0225</v>
      </c>
      <c r="E32" s="192"/>
      <c r="F32" s="167">
        <v>0.0225</v>
      </c>
      <c r="G32" s="190"/>
      <c r="H32" s="167">
        <v>0.0225</v>
      </c>
      <c r="I32" s="190"/>
      <c r="J32" s="167">
        <v>0.0225</v>
      </c>
      <c r="K32" s="190"/>
      <c r="L32" s="167">
        <v>0.0225</v>
      </c>
    </row>
    <row r="33" spans="1:12" ht="15">
      <c r="A33" s="161">
        <v>44671</v>
      </c>
      <c r="B33" s="214">
        <v>0.0225</v>
      </c>
      <c r="C33" s="73"/>
      <c r="D33" s="167">
        <v>0.0225</v>
      </c>
      <c r="E33" s="192"/>
      <c r="F33" s="167">
        <v>0.0225</v>
      </c>
      <c r="G33" s="190"/>
      <c r="H33" s="167">
        <v>0.0225</v>
      </c>
      <c r="I33" s="190"/>
      <c r="J33" s="167">
        <v>0.0225</v>
      </c>
      <c r="K33" s="190"/>
      <c r="L33" s="167">
        <v>0.0225</v>
      </c>
    </row>
    <row r="34" spans="1:12" ht="15">
      <c r="A34" s="161">
        <v>44701</v>
      </c>
      <c r="B34" s="214">
        <v>0.0225</v>
      </c>
      <c r="C34" s="73"/>
      <c r="D34" s="167">
        <v>0.0225</v>
      </c>
      <c r="E34" s="190"/>
      <c r="F34" s="167">
        <v>0.0225</v>
      </c>
      <c r="G34" s="190"/>
      <c r="H34" s="167">
        <v>0.0225</v>
      </c>
      <c r="I34" s="190"/>
      <c r="J34" s="167">
        <v>0.0225</v>
      </c>
      <c r="K34" s="190"/>
      <c r="L34" s="167">
        <v>0.0225</v>
      </c>
    </row>
    <row r="35" spans="1:12" ht="15">
      <c r="A35" s="161">
        <v>44732</v>
      </c>
      <c r="B35" s="214">
        <v>0.0225</v>
      </c>
      <c r="C35" s="73"/>
      <c r="D35" s="167">
        <v>0.0225</v>
      </c>
      <c r="E35" s="201"/>
      <c r="F35" s="167">
        <v>0.0225</v>
      </c>
      <c r="G35" s="201"/>
      <c r="H35" s="167">
        <v>0.0225</v>
      </c>
      <c r="I35" s="201"/>
      <c r="J35" s="167">
        <v>0.0225</v>
      </c>
      <c r="K35" s="201"/>
      <c r="L35" s="167">
        <v>0.0225</v>
      </c>
    </row>
    <row r="36" spans="1:12" ht="15">
      <c r="A36" s="161">
        <v>44762</v>
      </c>
      <c r="B36" s="214">
        <v>0.0225</v>
      </c>
      <c r="C36" s="73"/>
      <c r="D36" s="167">
        <v>0.0225</v>
      </c>
      <c r="E36" s="201"/>
      <c r="F36" s="167">
        <v>0.0225</v>
      </c>
      <c r="G36" s="201"/>
      <c r="H36" s="167">
        <v>0.0225</v>
      </c>
      <c r="I36" s="201"/>
      <c r="J36" s="167">
        <v>0.0225</v>
      </c>
      <c r="K36" s="201"/>
      <c r="L36" s="167">
        <v>0.0225</v>
      </c>
    </row>
    <row r="37" spans="1:12" ht="15">
      <c r="A37" s="161">
        <v>44793</v>
      </c>
      <c r="B37" s="214">
        <v>0.0225</v>
      </c>
      <c r="C37" s="73"/>
      <c r="D37" s="167">
        <v>0.0225</v>
      </c>
      <c r="E37" s="201"/>
      <c r="F37" s="167">
        <v>0.0225</v>
      </c>
      <c r="G37" s="201"/>
      <c r="H37" s="167">
        <v>0.0225</v>
      </c>
      <c r="I37" s="201"/>
      <c r="J37" s="167">
        <v>0.0225</v>
      </c>
      <c r="K37" s="201"/>
      <c r="L37" s="167">
        <v>0.0225</v>
      </c>
    </row>
    <row r="38" spans="1:12" ht="15">
      <c r="A38" s="161">
        <v>44824</v>
      </c>
      <c r="B38" s="214">
        <v>0.0225</v>
      </c>
      <c r="C38" s="73"/>
      <c r="D38" s="167">
        <v>0.0225</v>
      </c>
      <c r="E38" s="201"/>
      <c r="F38" s="167">
        <v>0.0225</v>
      </c>
      <c r="G38" s="201"/>
      <c r="H38" s="167">
        <v>0.0225</v>
      </c>
      <c r="I38" s="201"/>
      <c r="J38" s="167">
        <v>0.0225</v>
      </c>
      <c r="K38" s="201"/>
      <c r="L38" s="167">
        <v>0.0225</v>
      </c>
    </row>
    <row r="39" spans="1:12" ht="15">
      <c r="A39" s="161">
        <v>44854</v>
      </c>
      <c r="B39" s="214">
        <v>0.04688946</v>
      </c>
      <c r="C39" s="73"/>
      <c r="D39" s="167">
        <v>0.04688946</v>
      </c>
      <c r="E39" s="201"/>
      <c r="F39" s="167">
        <v>0.04688946</v>
      </c>
      <c r="G39" s="201"/>
      <c r="H39" s="167">
        <v>0.04688946</v>
      </c>
      <c r="I39" s="201"/>
      <c r="J39" s="167">
        <v>0.04688946</v>
      </c>
      <c r="K39" s="201"/>
      <c r="L39" s="167">
        <v>0.04688946</v>
      </c>
    </row>
    <row r="40" spans="1:12" ht="15">
      <c r="A40" s="161">
        <v>44885</v>
      </c>
      <c r="B40" s="214">
        <v>0.03935402</v>
      </c>
      <c r="C40" s="73"/>
      <c r="D40" s="167">
        <v>0.03935402</v>
      </c>
      <c r="E40" s="201"/>
      <c r="F40" s="167">
        <v>0.03935402</v>
      </c>
      <c r="G40" s="201"/>
      <c r="H40" s="167">
        <v>0.03935402</v>
      </c>
      <c r="I40" s="201"/>
      <c r="J40" s="167">
        <v>0.03935402</v>
      </c>
      <c r="K40" s="201"/>
      <c r="L40" s="167">
        <v>0.03935402</v>
      </c>
    </row>
    <row r="41" spans="1:12" ht="15">
      <c r="A41" s="161">
        <v>44915</v>
      </c>
      <c r="B41" s="215">
        <v>0.03779468</v>
      </c>
      <c r="C41" s="73"/>
      <c r="D41" s="167">
        <v>0.03779468</v>
      </c>
      <c r="E41" s="201"/>
      <c r="F41" s="167">
        <v>0.03779468</v>
      </c>
      <c r="G41" s="201"/>
      <c r="H41" s="167">
        <v>0.03779468</v>
      </c>
      <c r="I41" s="201"/>
      <c r="J41" s="167">
        <v>0.03779468</v>
      </c>
      <c r="K41" s="201"/>
      <c r="L41" s="167">
        <v>0.03779468</v>
      </c>
    </row>
    <row r="42" spans="1:12" s="185" customFormat="1" ht="15">
      <c r="A42" s="197">
        <v>44946</v>
      </c>
      <c r="B42" s="216">
        <v>0.03645539</v>
      </c>
      <c r="C42" s="198"/>
      <c r="D42" s="199">
        <v>0.03645539</v>
      </c>
      <c r="E42" s="200"/>
      <c r="F42" s="199">
        <v>0.03645539</v>
      </c>
      <c r="G42" s="200"/>
      <c r="H42" s="199">
        <v>0.03645539</v>
      </c>
      <c r="I42" s="200"/>
      <c r="J42" s="199">
        <v>0.03645539</v>
      </c>
      <c r="K42" s="200"/>
      <c r="L42" s="199">
        <v>0.03645539</v>
      </c>
    </row>
    <row r="43" spans="1:12" ht="15">
      <c r="A43" s="158">
        <v>44977</v>
      </c>
      <c r="B43" s="214">
        <v>0</v>
      </c>
      <c r="C43" s="73"/>
      <c r="D43" s="165">
        <v>0.02950645</v>
      </c>
      <c r="E43" s="191"/>
      <c r="F43" s="165">
        <v>0.02950645</v>
      </c>
      <c r="G43" s="191"/>
      <c r="H43" s="165">
        <v>0.02950645</v>
      </c>
      <c r="I43" s="191"/>
      <c r="J43" s="165">
        <v>0.02950645</v>
      </c>
      <c r="K43" s="191"/>
      <c r="L43" s="165">
        <v>0.02950645</v>
      </c>
    </row>
    <row r="44" spans="1:12" ht="15">
      <c r="A44" s="158">
        <v>45005</v>
      </c>
      <c r="B44" s="214">
        <v>0</v>
      </c>
      <c r="C44" s="73"/>
      <c r="D44" s="165">
        <v>0</v>
      </c>
      <c r="E44" s="193"/>
      <c r="F44" s="165">
        <v>0</v>
      </c>
      <c r="G44" s="193"/>
      <c r="H44" s="165">
        <v>0</v>
      </c>
      <c r="I44" s="193"/>
      <c r="J44" s="165">
        <v>0</v>
      </c>
      <c r="K44" s="193"/>
      <c r="L44" s="165">
        <v>0</v>
      </c>
    </row>
    <row r="45" spans="1:12" ht="15">
      <c r="A45" s="158">
        <v>45036</v>
      </c>
      <c r="B45" s="214">
        <v>0</v>
      </c>
      <c r="C45" s="73"/>
      <c r="D45" s="165">
        <v>0</v>
      </c>
      <c r="E45" s="191"/>
      <c r="F45" s="165">
        <v>0</v>
      </c>
      <c r="G45" s="191"/>
      <c r="H45" s="165">
        <v>0</v>
      </c>
      <c r="I45" s="191"/>
      <c r="J45" s="165">
        <v>0</v>
      </c>
      <c r="K45" s="191"/>
      <c r="L45" s="165">
        <v>0</v>
      </c>
    </row>
    <row r="46" spans="1:12" ht="15">
      <c r="A46" s="158">
        <v>45066</v>
      </c>
      <c r="B46" s="214">
        <v>0</v>
      </c>
      <c r="C46" s="73"/>
      <c r="D46" s="165">
        <v>0</v>
      </c>
      <c r="E46" s="191"/>
      <c r="F46" s="165">
        <v>0</v>
      </c>
      <c r="G46" s="191"/>
      <c r="H46" s="165">
        <v>0</v>
      </c>
      <c r="I46" s="191"/>
      <c r="J46" s="165">
        <v>0</v>
      </c>
      <c r="K46" s="191"/>
      <c r="L46" s="165">
        <v>0</v>
      </c>
    </row>
    <row r="47" spans="1:12" ht="15">
      <c r="A47" s="158">
        <v>45097</v>
      </c>
      <c r="B47" s="214">
        <v>0</v>
      </c>
      <c r="C47" s="73"/>
      <c r="D47" s="165">
        <v>0</v>
      </c>
      <c r="E47" s="193"/>
      <c r="F47" s="165">
        <v>0</v>
      </c>
      <c r="G47" s="193"/>
      <c r="H47" s="165">
        <v>0</v>
      </c>
      <c r="I47" s="193"/>
      <c r="J47" s="165">
        <v>0</v>
      </c>
      <c r="K47" s="193"/>
      <c r="L47" s="165">
        <v>0</v>
      </c>
    </row>
    <row r="48" spans="1:12" ht="15">
      <c r="A48" s="158">
        <v>45127</v>
      </c>
      <c r="B48" s="214">
        <v>0</v>
      </c>
      <c r="C48" s="73"/>
      <c r="D48" s="165">
        <v>0</v>
      </c>
      <c r="E48" s="191"/>
      <c r="F48" s="165">
        <v>0</v>
      </c>
      <c r="G48" s="191"/>
      <c r="H48" s="165">
        <v>0</v>
      </c>
      <c r="I48" s="191"/>
      <c r="J48" s="165">
        <v>0</v>
      </c>
      <c r="K48" s="191"/>
      <c r="L48" s="165">
        <v>0</v>
      </c>
    </row>
    <row r="49" spans="1:12" ht="15">
      <c r="A49" s="158">
        <v>45158</v>
      </c>
      <c r="B49" s="214">
        <v>0</v>
      </c>
      <c r="C49" s="73"/>
      <c r="D49" s="165">
        <v>0</v>
      </c>
      <c r="E49" s="193"/>
      <c r="F49" s="165">
        <v>0</v>
      </c>
      <c r="G49" s="193"/>
      <c r="H49" s="165">
        <v>0</v>
      </c>
      <c r="I49" s="193"/>
      <c r="J49" s="165">
        <v>0</v>
      </c>
      <c r="K49" s="193"/>
      <c r="L49" s="165">
        <v>0</v>
      </c>
    </row>
    <row r="50" spans="1:12" ht="15">
      <c r="A50" s="158">
        <v>45189</v>
      </c>
      <c r="B50" s="214">
        <v>0</v>
      </c>
      <c r="C50" s="73"/>
      <c r="D50" s="165">
        <v>0</v>
      </c>
      <c r="E50" s="191"/>
      <c r="F50" s="165">
        <v>0</v>
      </c>
      <c r="G50" s="191"/>
      <c r="H50" s="165">
        <v>0</v>
      </c>
      <c r="I50" s="191"/>
      <c r="J50" s="165">
        <v>0</v>
      </c>
      <c r="K50" s="191"/>
      <c r="L50" s="165">
        <v>0</v>
      </c>
    </row>
    <row r="51" spans="1:12" ht="15">
      <c r="A51" s="158">
        <v>45219</v>
      </c>
      <c r="B51" s="214">
        <v>0</v>
      </c>
      <c r="C51" s="73"/>
      <c r="D51" s="165">
        <v>0</v>
      </c>
      <c r="E51" s="191"/>
      <c r="F51" s="165">
        <v>0</v>
      </c>
      <c r="G51" s="191"/>
      <c r="H51" s="165">
        <v>0</v>
      </c>
      <c r="I51" s="191"/>
      <c r="J51" s="165">
        <v>0</v>
      </c>
      <c r="K51" s="191"/>
      <c r="L51" s="165">
        <v>0</v>
      </c>
    </row>
    <row r="52" spans="1:12" ht="15">
      <c r="A52" s="158">
        <v>45250</v>
      </c>
      <c r="B52" s="214">
        <v>0</v>
      </c>
      <c r="C52" s="73"/>
      <c r="D52" s="165">
        <v>0</v>
      </c>
      <c r="E52" s="191"/>
      <c r="F52" s="165">
        <v>0</v>
      </c>
      <c r="G52" s="191"/>
      <c r="H52" s="165">
        <v>0</v>
      </c>
      <c r="I52" s="191"/>
      <c r="J52" s="165">
        <v>0</v>
      </c>
      <c r="K52" s="191"/>
      <c r="L52" s="165">
        <v>0</v>
      </c>
    </row>
    <row r="53" spans="1:12" ht="15">
      <c r="A53" s="158">
        <v>45280</v>
      </c>
      <c r="B53" s="214">
        <v>0</v>
      </c>
      <c r="C53" s="73"/>
      <c r="D53" s="165">
        <v>0</v>
      </c>
      <c r="E53" s="191"/>
      <c r="F53" s="165">
        <v>0</v>
      </c>
      <c r="G53" s="191"/>
      <c r="H53" s="165">
        <v>0</v>
      </c>
      <c r="I53" s="191"/>
      <c r="J53" s="165">
        <v>0</v>
      </c>
      <c r="K53" s="191"/>
      <c r="L53" s="165">
        <v>0</v>
      </c>
    </row>
    <row r="54" spans="1:12" ht="15">
      <c r="A54" s="158">
        <v>45311</v>
      </c>
      <c r="B54" s="214">
        <v>0</v>
      </c>
      <c r="C54" s="73"/>
      <c r="D54" s="165">
        <v>0</v>
      </c>
      <c r="E54" s="191"/>
      <c r="F54" s="165">
        <v>0</v>
      </c>
      <c r="G54" s="191"/>
      <c r="H54" s="165">
        <v>0</v>
      </c>
      <c r="I54" s="191"/>
      <c r="J54" s="165">
        <v>0</v>
      </c>
      <c r="K54" s="191"/>
      <c r="L54" s="165">
        <v>0</v>
      </c>
    </row>
    <row r="55" spans="1:12" ht="15">
      <c r="A55" s="158">
        <v>45342</v>
      </c>
      <c r="B55" s="214">
        <v>0</v>
      </c>
      <c r="C55" s="73"/>
      <c r="D55" s="165">
        <v>0</v>
      </c>
      <c r="E55" s="191"/>
      <c r="F55" s="165">
        <v>0</v>
      </c>
      <c r="G55" s="191"/>
      <c r="H55" s="165">
        <v>0</v>
      </c>
      <c r="I55" s="191"/>
      <c r="J55" s="165">
        <v>0</v>
      </c>
      <c r="K55" s="191"/>
      <c r="L55" s="165">
        <v>0</v>
      </c>
    </row>
    <row r="56" spans="1:12" ht="15">
      <c r="A56" s="158">
        <v>45371</v>
      </c>
      <c r="B56" s="214">
        <v>0</v>
      </c>
      <c r="C56" s="73"/>
      <c r="D56" s="165">
        <v>0</v>
      </c>
      <c r="E56" s="191"/>
      <c r="F56" s="165">
        <v>0</v>
      </c>
      <c r="G56" s="191"/>
      <c r="H56" s="165">
        <v>0</v>
      </c>
      <c r="I56" s="191"/>
      <c r="J56" s="165">
        <v>0</v>
      </c>
      <c r="K56" s="191"/>
      <c r="L56" s="165">
        <v>0</v>
      </c>
    </row>
    <row r="57" spans="1:12" ht="15">
      <c r="A57" s="158">
        <v>45402</v>
      </c>
      <c r="B57" s="214">
        <v>0</v>
      </c>
      <c r="C57" s="73"/>
      <c r="D57" s="165">
        <v>0</v>
      </c>
      <c r="E57" s="191"/>
      <c r="F57" s="165">
        <v>0</v>
      </c>
      <c r="G57" s="191"/>
      <c r="H57" s="165">
        <v>0</v>
      </c>
      <c r="I57" s="191"/>
      <c r="J57" s="165">
        <v>0</v>
      </c>
      <c r="K57" s="191"/>
      <c r="L57" s="165">
        <v>0</v>
      </c>
    </row>
    <row r="58" spans="1:12" ht="15">
      <c r="A58" s="158">
        <v>45432</v>
      </c>
      <c r="B58" s="214">
        <v>0</v>
      </c>
      <c r="C58" s="73"/>
      <c r="D58" s="165">
        <v>0</v>
      </c>
      <c r="E58" s="191"/>
      <c r="F58" s="165">
        <v>0</v>
      </c>
      <c r="G58" s="191"/>
      <c r="H58" s="165">
        <v>0</v>
      </c>
      <c r="I58" s="191"/>
      <c r="J58" s="165">
        <v>0</v>
      </c>
      <c r="K58" s="191"/>
      <c r="L58" s="165">
        <v>0</v>
      </c>
    </row>
    <row r="59" spans="1:12" ht="15">
      <c r="A59" s="158">
        <v>45463</v>
      </c>
      <c r="B59" s="214">
        <v>0</v>
      </c>
      <c r="C59" s="73"/>
      <c r="D59" s="165">
        <v>0</v>
      </c>
      <c r="E59" s="191"/>
      <c r="F59" s="165">
        <v>0</v>
      </c>
      <c r="G59" s="191"/>
      <c r="H59" s="165">
        <v>0</v>
      </c>
      <c r="I59" s="191"/>
      <c r="J59" s="165">
        <v>0</v>
      </c>
      <c r="K59" s="191"/>
      <c r="L59" s="165">
        <v>0</v>
      </c>
    </row>
    <row r="60" spans="1:12" ht="15">
      <c r="A60" s="158">
        <v>45493</v>
      </c>
      <c r="B60" s="214">
        <v>0</v>
      </c>
      <c r="C60" s="73"/>
      <c r="D60" s="165">
        <v>0</v>
      </c>
      <c r="E60" s="191"/>
      <c r="F60" s="165">
        <v>0</v>
      </c>
      <c r="G60" s="191"/>
      <c r="H60" s="165">
        <v>0</v>
      </c>
      <c r="I60" s="191"/>
      <c r="J60" s="165">
        <v>0</v>
      </c>
      <c r="K60" s="191"/>
      <c r="L60" s="165">
        <v>0</v>
      </c>
    </row>
    <row r="61" spans="1:12" ht="15">
      <c r="A61" s="158">
        <v>45524</v>
      </c>
      <c r="B61" s="214">
        <v>0</v>
      </c>
      <c r="C61" s="73"/>
      <c r="D61" s="165">
        <v>0</v>
      </c>
      <c r="E61" s="191"/>
      <c r="F61" s="165">
        <v>0</v>
      </c>
      <c r="G61" s="191"/>
      <c r="H61" s="165">
        <v>0</v>
      </c>
      <c r="I61" s="191"/>
      <c r="J61" s="165">
        <v>0</v>
      </c>
      <c r="K61" s="191"/>
      <c r="L61" s="165">
        <v>0</v>
      </c>
    </row>
    <row r="62" spans="1:12" ht="15">
      <c r="A62" s="158">
        <v>45555</v>
      </c>
      <c r="B62" s="214">
        <v>0.02950645</v>
      </c>
      <c r="C62" s="73"/>
      <c r="D62" s="165">
        <v>0</v>
      </c>
      <c r="E62" s="191"/>
      <c r="F62" s="165">
        <v>0</v>
      </c>
      <c r="G62" s="191"/>
      <c r="H62" s="165">
        <v>0</v>
      </c>
      <c r="I62" s="191"/>
      <c r="J62" s="165">
        <v>0</v>
      </c>
      <c r="K62" s="191"/>
      <c r="L62" s="165">
        <v>0</v>
      </c>
    </row>
    <row r="63" spans="1:12" ht="15">
      <c r="A63" s="158">
        <v>45585</v>
      </c>
      <c r="B63" s="214">
        <v>0</v>
      </c>
      <c r="C63" s="73"/>
      <c r="D63" s="165">
        <v>0</v>
      </c>
      <c r="E63" s="191"/>
      <c r="F63" s="165">
        <v>0</v>
      </c>
      <c r="G63" s="191"/>
      <c r="H63" s="165">
        <v>0</v>
      </c>
      <c r="I63" s="191"/>
      <c r="J63" s="165">
        <v>0</v>
      </c>
      <c r="K63" s="191"/>
      <c r="L63" s="165">
        <v>0</v>
      </c>
    </row>
    <row r="64" spans="1:12" ht="15">
      <c r="A64" s="158">
        <v>45616</v>
      </c>
      <c r="B64" s="214">
        <v>0</v>
      </c>
      <c r="C64" s="73"/>
      <c r="D64" s="165">
        <v>0</v>
      </c>
      <c r="E64" s="191"/>
      <c r="F64" s="165">
        <v>0</v>
      </c>
      <c r="G64" s="191"/>
      <c r="H64" s="165">
        <v>0</v>
      </c>
      <c r="I64" s="191"/>
      <c r="J64" s="165">
        <v>0</v>
      </c>
      <c r="K64" s="191"/>
      <c r="L64" s="165">
        <v>0</v>
      </c>
    </row>
    <row r="65" spans="1:12" ht="15">
      <c r="A65" s="158">
        <v>45646</v>
      </c>
      <c r="B65" s="214">
        <v>0</v>
      </c>
      <c r="C65" s="73"/>
      <c r="D65" s="165">
        <v>0</v>
      </c>
      <c r="E65" s="191"/>
      <c r="F65" s="165">
        <v>0</v>
      </c>
      <c r="G65" s="191"/>
      <c r="H65" s="165">
        <v>0</v>
      </c>
      <c r="I65" s="191"/>
      <c r="J65" s="165">
        <v>0</v>
      </c>
      <c r="K65" s="191"/>
      <c r="L65" s="165">
        <v>0</v>
      </c>
    </row>
    <row r="66" spans="1:12" ht="15">
      <c r="A66" s="158">
        <v>45677</v>
      </c>
      <c r="B66" s="214">
        <v>0</v>
      </c>
      <c r="C66" s="73"/>
      <c r="D66" s="165">
        <v>0</v>
      </c>
      <c r="E66" s="191"/>
      <c r="F66" s="165">
        <v>0</v>
      </c>
      <c r="G66" s="191"/>
      <c r="H66" s="165">
        <v>0</v>
      </c>
      <c r="I66" s="191"/>
      <c r="J66" s="165">
        <v>0</v>
      </c>
      <c r="K66" s="191"/>
      <c r="L66" s="165">
        <v>0</v>
      </c>
    </row>
    <row r="67" spans="1:12" ht="15">
      <c r="A67" s="158">
        <v>45708</v>
      </c>
      <c r="B67" s="214">
        <v>0</v>
      </c>
      <c r="C67" s="73"/>
      <c r="D67" s="165">
        <v>0</v>
      </c>
      <c r="E67" s="191"/>
      <c r="F67" s="165">
        <v>0</v>
      </c>
      <c r="G67" s="191"/>
      <c r="H67" s="165">
        <v>0</v>
      </c>
      <c r="I67" s="191"/>
      <c r="J67" s="165">
        <v>0</v>
      </c>
      <c r="K67" s="191"/>
      <c r="L67" s="165">
        <v>0</v>
      </c>
    </row>
    <row r="68" spans="1:12" ht="15">
      <c r="A68" s="158">
        <v>45736</v>
      </c>
      <c r="B68" s="214">
        <v>0</v>
      </c>
      <c r="C68" s="73"/>
      <c r="D68" s="165">
        <v>0</v>
      </c>
      <c r="E68" s="191"/>
      <c r="F68" s="165">
        <v>0</v>
      </c>
      <c r="G68" s="191"/>
      <c r="H68" s="165">
        <v>0</v>
      </c>
      <c r="I68" s="191"/>
      <c r="J68" s="165">
        <v>0</v>
      </c>
      <c r="K68" s="191"/>
      <c r="L68" s="165">
        <v>0</v>
      </c>
    </row>
    <row r="69" spans="1:12" ht="15">
      <c r="A69" s="158">
        <v>45767</v>
      </c>
      <c r="B69" s="214">
        <v>0</v>
      </c>
      <c r="C69" s="73"/>
      <c r="D69" s="165">
        <v>0</v>
      </c>
      <c r="E69" s="191"/>
      <c r="F69" s="165">
        <v>0</v>
      </c>
      <c r="G69" s="191"/>
      <c r="H69" s="165">
        <v>0</v>
      </c>
      <c r="I69" s="191"/>
      <c r="J69" s="165">
        <v>0</v>
      </c>
      <c r="K69" s="191"/>
      <c r="L69" s="165">
        <v>0</v>
      </c>
    </row>
    <row r="70" spans="1:12" ht="15">
      <c r="A70" s="158">
        <v>45797</v>
      </c>
      <c r="B70" s="214">
        <v>0</v>
      </c>
      <c r="C70" s="73"/>
      <c r="D70" s="165">
        <v>0</v>
      </c>
      <c r="E70" s="191"/>
      <c r="F70" s="165">
        <v>0</v>
      </c>
      <c r="G70" s="191"/>
      <c r="H70" s="165">
        <v>0</v>
      </c>
      <c r="I70" s="191"/>
      <c r="J70" s="165">
        <v>0</v>
      </c>
      <c r="K70" s="191"/>
      <c r="L70" s="165">
        <v>0</v>
      </c>
    </row>
    <row r="71" spans="1:12" ht="15">
      <c r="A71" s="158">
        <v>45828</v>
      </c>
      <c r="B71" s="214">
        <v>0</v>
      </c>
      <c r="C71" s="73"/>
      <c r="D71" s="165">
        <v>0</v>
      </c>
      <c r="E71" s="191"/>
      <c r="F71" s="165">
        <v>0</v>
      </c>
      <c r="G71" s="191"/>
      <c r="H71" s="165">
        <v>0</v>
      </c>
      <c r="I71" s="191"/>
      <c r="J71" s="165">
        <v>0</v>
      </c>
      <c r="K71" s="191"/>
      <c r="L71" s="165">
        <v>0</v>
      </c>
    </row>
    <row r="72" spans="1:12" ht="15">
      <c r="A72" s="158">
        <v>45858</v>
      </c>
      <c r="B72" s="214">
        <v>0</v>
      </c>
      <c r="C72" s="73"/>
      <c r="D72" s="165">
        <v>0</v>
      </c>
      <c r="E72" s="191"/>
      <c r="F72" s="165">
        <v>0</v>
      </c>
      <c r="G72" s="191"/>
      <c r="H72" s="165">
        <v>0</v>
      </c>
      <c r="I72" s="191"/>
      <c r="J72" s="165">
        <v>0</v>
      </c>
      <c r="K72" s="191"/>
      <c r="L72" s="165">
        <v>0</v>
      </c>
    </row>
    <row r="73" spans="1:12" ht="15">
      <c r="A73" s="158">
        <v>45889</v>
      </c>
      <c r="B73" s="214">
        <v>0</v>
      </c>
      <c r="C73" s="73"/>
      <c r="D73" s="165">
        <v>0</v>
      </c>
      <c r="E73" s="191"/>
      <c r="F73" s="165">
        <v>0</v>
      </c>
      <c r="G73" s="191"/>
      <c r="H73" s="165">
        <v>0</v>
      </c>
      <c r="I73" s="191"/>
      <c r="J73" s="165">
        <v>0</v>
      </c>
      <c r="K73" s="191"/>
      <c r="L73" s="165">
        <v>0</v>
      </c>
    </row>
    <row r="74" spans="1:12" ht="15">
      <c r="A74" s="158">
        <v>45920</v>
      </c>
      <c r="B74" s="214">
        <v>0</v>
      </c>
      <c r="C74" s="73"/>
      <c r="D74" s="165">
        <v>0</v>
      </c>
      <c r="E74" s="193"/>
      <c r="F74" s="165">
        <v>0</v>
      </c>
      <c r="G74" s="193"/>
      <c r="H74" s="165">
        <v>0</v>
      </c>
      <c r="I74" s="193"/>
      <c r="J74" s="165">
        <v>0</v>
      </c>
      <c r="K74" s="193"/>
      <c r="L74" s="165">
        <v>0</v>
      </c>
    </row>
    <row r="75" spans="1:12" ht="15">
      <c r="A75" s="158">
        <v>45950</v>
      </c>
      <c r="B75" s="214">
        <v>0</v>
      </c>
      <c r="C75" s="73"/>
      <c r="D75" s="165">
        <v>0</v>
      </c>
      <c r="E75" s="193"/>
      <c r="F75" s="165">
        <v>0</v>
      </c>
      <c r="G75" s="193"/>
      <c r="H75" s="165">
        <v>0</v>
      </c>
      <c r="I75" s="193"/>
      <c r="J75" s="165">
        <v>0</v>
      </c>
      <c r="K75" s="193"/>
      <c r="L75" s="165">
        <v>0</v>
      </c>
    </row>
    <row r="76" spans="1:12" ht="15">
      <c r="A76" s="158">
        <v>45981</v>
      </c>
      <c r="B76" s="214">
        <v>0</v>
      </c>
      <c r="C76" s="73"/>
      <c r="D76" s="165">
        <v>0</v>
      </c>
      <c r="E76" s="191"/>
      <c r="F76" s="165">
        <v>0</v>
      </c>
      <c r="G76" s="191"/>
      <c r="H76" s="165">
        <v>0</v>
      </c>
      <c r="I76" s="191"/>
      <c r="J76" s="165">
        <v>0</v>
      </c>
      <c r="K76" s="191"/>
      <c r="L76" s="165">
        <v>0</v>
      </c>
    </row>
    <row r="77" spans="1:12" ht="15">
      <c r="A77" s="158">
        <v>46011</v>
      </c>
      <c r="B77" s="214">
        <v>0</v>
      </c>
      <c r="C77" s="73"/>
      <c r="D77" s="165">
        <v>0</v>
      </c>
      <c r="E77" s="191"/>
      <c r="F77" s="165">
        <v>0</v>
      </c>
      <c r="G77" s="191"/>
      <c r="H77" s="165">
        <v>0</v>
      </c>
      <c r="I77" s="191"/>
      <c r="J77" s="165">
        <v>0</v>
      </c>
      <c r="K77" s="191"/>
      <c r="L77" s="165">
        <v>0</v>
      </c>
    </row>
    <row r="78" spans="1:12" ht="15">
      <c r="A78" s="158">
        <v>46042</v>
      </c>
      <c r="B78" s="214">
        <v>0</v>
      </c>
      <c r="C78" s="73"/>
      <c r="D78" s="165">
        <v>0</v>
      </c>
      <c r="E78" s="191"/>
      <c r="F78" s="165">
        <v>0</v>
      </c>
      <c r="G78" s="191"/>
      <c r="H78" s="165">
        <v>0</v>
      </c>
      <c r="I78" s="191"/>
      <c r="J78" s="165">
        <v>0</v>
      </c>
      <c r="K78" s="191"/>
      <c r="L78" s="165">
        <v>0</v>
      </c>
    </row>
    <row r="79" spans="1:12" ht="15">
      <c r="A79" s="158">
        <v>46073</v>
      </c>
      <c r="B79" s="214">
        <v>0</v>
      </c>
      <c r="C79" s="73"/>
      <c r="D79" s="165">
        <v>0</v>
      </c>
      <c r="E79" s="191"/>
      <c r="F79" s="165">
        <v>0</v>
      </c>
      <c r="G79" s="193"/>
      <c r="H79" s="165">
        <v>0</v>
      </c>
      <c r="I79" s="191"/>
      <c r="J79" s="165">
        <v>0</v>
      </c>
      <c r="K79" s="194"/>
      <c r="L79" s="165">
        <v>0</v>
      </c>
    </row>
    <row r="80" spans="1:12" ht="15">
      <c r="A80" s="158">
        <v>46101</v>
      </c>
      <c r="B80" s="214">
        <v>0</v>
      </c>
      <c r="C80" s="73"/>
      <c r="D80" s="165">
        <v>0</v>
      </c>
      <c r="E80" s="191"/>
      <c r="F80" s="165">
        <v>0</v>
      </c>
      <c r="G80" s="191"/>
      <c r="H80" s="165">
        <v>0</v>
      </c>
      <c r="I80" s="191"/>
      <c r="J80" s="165">
        <v>0</v>
      </c>
      <c r="K80" s="191"/>
      <c r="L80" s="165">
        <v>0</v>
      </c>
    </row>
    <row r="81" spans="1:12" ht="15">
      <c r="A81" s="158">
        <v>46132</v>
      </c>
      <c r="B81" s="214">
        <v>0</v>
      </c>
      <c r="C81" s="73"/>
      <c r="D81" s="165">
        <v>0</v>
      </c>
      <c r="E81" s="191"/>
      <c r="F81" s="165">
        <v>0</v>
      </c>
      <c r="G81" s="191"/>
      <c r="H81" s="165">
        <v>0</v>
      </c>
      <c r="I81" s="191"/>
      <c r="J81" s="165">
        <v>0</v>
      </c>
      <c r="K81" s="191"/>
      <c r="L81" s="165">
        <v>0</v>
      </c>
    </row>
    <row r="82" spans="1:12" ht="15">
      <c r="A82" s="158">
        <v>46162</v>
      </c>
      <c r="B82" s="214">
        <v>0</v>
      </c>
      <c r="C82" s="73"/>
      <c r="D82" s="165">
        <v>0</v>
      </c>
      <c r="E82" s="191"/>
      <c r="F82" s="165">
        <v>0</v>
      </c>
      <c r="G82" s="191"/>
      <c r="H82" s="165">
        <v>0</v>
      </c>
      <c r="I82" s="191"/>
      <c r="J82" s="165">
        <v>0</v>
      </c>
      <c r="K82" s="191"/>
      <c r="L82" s="165">
        <v>0</v>
      </c>
    </row>
    <row r="83" spans="1:12" ht="15">
      <c r="A83" s="158">
        <v>46193</v>
      </c>
      <c r="B83" s="214">
        <v>0</v>
      </c>
      <c r="C83" s="73"/>
      <c r="D83" s="165">
        <v>0</v>
      </c>
      <c r="E83" s="191"/>
      <c r="F83" s="165">
        <v>0</v>
      </c>
      <c r="G83" s="191"/>
      <c r="H83" s="165">
        <v>0</v>
      </c>
      <c r="I83" s="191"/>
      <c r="J83" s="165">
        <v>0</v>
      </c>
      <c r="K83" s="191"/>
      <c r="L83" s="165">
        <v>0</v>
      </c>
    </row>
    <row r="84" spans="1:12" ht="15">
      <c r="A84" s="158">
        <v>46223</v>
      </c>
      <c r="B84" s="214">
        <v>0</v>
      </c>
      <c r="C84" s="73"/>
      <c r="D84" s="165">
        <v>0</v>
      </c>
      <c r="E84" s="191"/>
      <c r="F84" s="165">
        <v>0</v>
      </c>
      <c r="G84" s="191"/>
      <c r="H84" s="165">
        <v>0</v>
      </c>
      <c r="I84" s="191"/>
      <c r="J84" s="165">
        <v>0</v>
      </c>
      <c r="K84" s="191"/>
      <c r="L84" s="165">
        <v>0</v>
      </c>
    </row>
    <row r="85" spans="1:12" ht="15">
      <c r="A85" s="158">
        <v>46254</v>
      </c>
      <c r="B85" s="214">
        <v>0</v>
      </c>
      <c r="C85" s="73"/>
      <c r="D85" s="165">
        <v>0</v>
      </c>
      <c r="E85" s="191"/>
      <c r="F85" s="165">
        <v>0</v>
      </c>
      <c r="G85" s="191"/>
      <c r="H85" s="165">
        <v>0</v>
      </c>
      <c r="I85" s="191"/>
      <c r="J85" s="165">
        <v>0</v>
      </c>
      <c r="K85" s="191"/>
      <c r="L85" s="165">
        <v>0</v>
      </c>
    </row>
    <row r="86" spans="1:12" ht="15">
      <c r="A86" s="158">
        <v>46285</v>
      </c>
      <c r="B86" s="214">
        <v>0</v>
      </c>
      <c r="C86" s="73"/>
      <c r="D86" s="165">
        <v>0</v>
      </c>
      <c r="E86" s="191"/>
      <c r="F86" s="165">
        <v>0</v>
      </c>
      <c r="G86" s="191"/>
      <c r="H86" s="165">
        <v>0</v>
      </c>
      <c r="I86" s="191"/>
      <c r="J86" s="165">
        <v>0</v>
      </c>
      <c r="K86" s="191"/>
      <c r="L86" s="165">
        <v>0</v>
      </c>
    </row>
    <row r="87" spans="1:12" ht="15">
      <c r="A87" s="158">
        <v>46315</v>
      </c>
      <c r="B87" s="214">
        <v>0</v>
      </c>
      <c r="C87" s="73"/>
      <c r="D87" s="165">
        <v>0</v>
      </c>
      <c r="E87" s="191"/>
      <c r="F87" s="165">
        <v>0</v>
      </c>
      <c r="G87" s="191"/>
      <c r="H87" s="165">
        <v>0</v>
      </c>
      <c r="I87" s="191"/>
      <c r="J87" s="165">
        <v>0</v>
      </c>
      <c r="K87" s="191"/>
      <c r="L87" s="165">
        <v>0</v>
      </c>
    </row>
    <row r="88" spans="1:12" ht="15">
      <c r="A88" s="158">
        <v>46346</v>
      </c>
      <c r="B88" s="214">
        <v>0</v>
      </c>
      <c r="C88" s="73"/>
      <c r="D88" s="165">
        <v>0</v>
      </c>
      <c r="E88" s="191"/>
      <c r="F88" s="165">
        <v>0</v>
      </c>
      <c r="G88" s="191"/>
      <c r="H88" s="165">
        <v>0</v>
      </c>
      <c r="I88" s="191"/>
      <c r="J88" s="165">
        <v>0</v>
      </c>
      <c r="K88" s="191"/>
      <c r="L88" s="165">
        <v>0</v>
      </c>
    </row>
    <row r="89" spans="1:12" ht="15">
      <c r="A89" s="158">
        <v>46376</v>
      </c>
      <c r="B89" s="214">
        <v>0</v>
      </c>
      <c r="C89" s="73"/>
      <c r="D89" s="165">
        <v>0</v>
      </c>
      <c r="E89" s="191"/>
      <c r="F89" s="165">
        <v>0</v>
      </c>
      <c r="G89" s="191"/>
      <c r="H89" s="165">
        <v>0</v>
      </c>
      <c r="I89" s="191"/>
      <c r="J89" s="165">
        <v>0</v>
      </c>
      <c r="K89" s="191"/>
      <c r="L89" s="165">
        <v>0</v>
      </c>
    </row>
    <row r="90" spans="1:12" ht="15">
      <c r="A90" s="158">
        <v>46407</v>
      </c>
      <c r="B90" s="214">
        <v>0</v>
      </c>
      <c r="C90" s="73"/>
      <c r="D90" s="165">
        <v>0</v>
      </c>
      <c r="E90" s="191"/>
      <c r="F90" s="165">
        <v>0</v>
      </c>
      <c r="G90" s="191"/>
      <c r="H90" s="165">
        <v>0</v>
      </c>
      <c r="I90" s="191"/>
      <c r="J90" s="165">
        <v>0</v>
      </c>
      <c r="K90" s="193"/>
      <c r="L90" s="165">
        <v>0</v>
      </c>
    </row>
    <row r="91" spans="1:12" ht="15">
      <c r="A91" s="158">
        <v>46438</v>
      </c>
      <c r="B91" s="214">
        <v>0</v>
      </c>
      <c r="C91" s="73"/>
      <c r="D91" s="165">
        <v>0</v>
      </c>
      <c r="E91" s="193"/>
      <c r="F91" s="165">
        <v>0</v>
      </c>
      <c r="G91" s="193"/>
      <c r="H91" s="165">
        <v>0</v>
      </c>
      <c r="I91" s="193"/>
      <c r="J91" s="165">
        <v>0</v>
      </c>
      <c r="K91" s="193"/>
      <c r="L91" s="165">
        <v>0</v>
      </c>
    </row>
    <row r="92" spans="1:12" ht="15">
      <c r="A92" s="158">
        <v>46466</v>
      </c>
      <c r="B92" s="214">
        <v>0</v>
      </c>
      <c r="C92" s="73"/>
      <c r="D92" s="165">
        <v>0</v>
      </c>
      <c r="E92" s="193"/>
      <c r="F92" s="165">
        <v>0</v>
      </c>
      <c r="G92" s="193"/>
      <c r="H92" s="165">
        <v>0</v>
      </c>
      <c r="I92" s="193"/>
      <c r="J92" s="165">
        <v>0</v>
      </c>
      <c r="K92" s="193"/>
      <c r="L92" s="165">
        <v>0</v>
      </c>
    </row>
    <row r="93" spans="1:12" ht="15">
      <c r="A93" s="158">
        <v>46497</v>
      </c>
      <c r="B93" s="214">
        <v>0</v>
      </c>
      <c r="C93" s="73"/>
      <c r="D93" s="165">
        <v>0</v>
      </c>
      <c r="E93" s="191"/>
      <c r="F93" s="165">
        <v>0</v>
      </c>
      <c r="G93" s="191"/>
      <c r="H93" s="165">
        <v>0</v>
      </c>
      <c r="I93" s="191"/>
      <c r="J93" s="165">
        <v>0</v>
      </c>
      <c r="K93" s="191"/>
      <c r="L93" s="165">
        <v>0</v>
      </c>
    </row>
    <row r="94" spans="1:12" ht="15">
      <c r="A94" s="158">
        <v>46527</v>
      </c>
      <c r="B94" s="214">
        <v>0</v>
      </c>
      <c r="C94" s="73"/>
      <c r="D94" s="165">
        <v>0</v>
      </c>
      <c r="E94" s="191"/>
      <c r="F94" s="165">
        <v>0</v>
      </c>
      <c r="G94" s="191"/>
      <c r="H94" s="165">
        <v>0</v>
      </c>
      <c r="I94" s="191"/>
      <c r="J94" s="165">
        <v>0</v>
      </c>
      <c r="K94" s="191"/>
      <c r="L94" s="165">
        <v>0</v>
      </c>
    </row>
    <row r="95" spans="1:12" ht="15">
      <c r="A95" s="158">
        <v>46558</v>
      </c>
      <c r="B95" s="214">
        <v>0</v>
      </c>
      <c r="C95" s="73"/>
      <c r="D95" s="165">
        <v>0</v>
      </c>
      <c r="E95" s="191"/>
      <c r="F95" s="165">
        <v>0</v>
      </c>
      <c r="G95" s="191"/>
      <c r="H95" s="165">
        <v>0</v>
      </c>
      <c r="I95" s="191"/>
      <c r="J95" s="165">
        <v>0</v>
      </c>
      <c r="K95" s="191"/>
      <c r="L95" s="165">
        <v>0</v>
      </c>
    </row>
    <row r="96" spans="1:12" ht="15">
      <c r="A96" s="158">
        <v>46588</v>
      </c>
      <c r="B96" s="214">
        <v>0</v>
      </c>
      <c r="C96" s="73"/>
      <c r="D96" s="165">
        <v>0</v>
      </c>
      <c r="E96" s="191"/>
      <c r="F96" s="165">
        <v>0</v>
      </c>
      <c r="G96" s="191"/>
      <c r="H96" s="165">
        <v>0</v>
      </c>
      <c r="I96" s="191"/>
      <c r="J96" s="165">
        <v>0</v>
      </c>
      <c r="K96" s="191"/>
      <c r="L96" s="165">
        <v>0</v>
      </c>
    </row>
    <row r="97" spans="1:12" ht="15">
      <c r="A97" s="158">
        <v>46619</v>
      </c>
      <c r="B97" s="214">
        <v>0</v>
      </c>
      <c r="C97" s="73"/>
      <c r="D97" s="165">
        <v>0</v>
      </c>
      <c r="E97" s="191"/>
      <c r="F97" s="165">
        <v>0</v>
      </c>
      <c r="G97" s="191"/>
      <c r="H97" s="165">
        <v>0</v>
      </c>
      <c r="I97" s="191"/>
      <c r="J97" s="165">
        <v>0</v>
      </c>
      <c r="K97" s="191"/>
      <c r="L97" s="165">
        <v>0</v>
      </c>
    </row>
    <row r="98" spans="1:12" ht="15">
      <c r="A98" s="158">
        <v>46650</v>
      </c>
      <c r="B98" s="214">
        <v>0</v>
      </c>
      <c r="C98" s="73"/>
      <c r="D98" s="165">
        <v>0</v>
      </c>
      <c r="E98" s="193"/>
      <c r="F98" s="165">
        <v>0</v>
      </c>
      <c r="G98" s="193"/>
      <c r="H98" s="165">
        <v>0</v>
      </c>
      <c r="I98" s="193"/>
      <c r="J98" s="165">
        <v>0</v>
      </c>
      <c r="K98" s="193"/>
      <c r="L98" s="165">
        <v>0</v>
      </c>
    </row>
    <row r="99" spans="1:12" ht="15">
      <c r="A99" s="158">
        <v>46680</v>
      </c>
      <c r="B99" s="214">
        <v>0</v>
      </c>
      <c r="C99" s="73"/>
      <c r="D99" s="165">
        <v>0</v>
      </c>
      <c r="E99" s="193"/>
      <c r="F99" s="165">
        <v>0</v>
      </c>
      <c r="G99" s="191"/>
      <c r="H99" s="165">
        <v>0</v>
      </c>
      <c r="I99" s="191"/>
      <c r="J99" s="165">
        <v>0</v>
      </c>
      <c r="K99" s="191"/>
      <c r="L99" s="165">
        <v>0</v>
      </c>
    </row>
    <row r="100" spans="1:12" ht="15">
      <c r="A100" s="158">
        <v>46711</v>
      </c>
      <c r="B100" s="214">
        <v>0</v>
      </c>
      <c r="C100" s="73"/>
      <c r="D100" s="165">
        <v>0</v>
      </c>
      <c r="E100" s="191"/>
      <c r="F100" s="165">
        <v>0</v>
      </c>
      <c r="G100" s="191"/>
      <c r="H100" s="165">
        <v>0</v>
      </c>
      <c r="I100" s="191"/>
      <c r="J100" s="165">
        <v>0</v>
      </c>
      <c r="K100" s="191"/>
      <c r="L100" s="165">
        <v>0</v>
      </c>
    </row>
    <row r="101" spans="1:12" ht="15">
      <c r="A101" s="158">
        <v>46741</v>
      </c>
      <c r="B101" s="214">
        <v>0</v>
      </c>
      <c r="C101" s="73"/>
      <c r="D101" s="165">
        <v>0</v>
      </c>
      <c r="E101" s="191"/>
      <c r="F101" s="165">
        <v>0</v>
      </c>
      <c r="G101" s="191"/>
      <c r="H101" s="165">
        <v>0</v>
      </c>
      <c r="I101" s="193"/>
      <c r="J101" s="165">
        <v>0</v>
      </c>
      <c r="K101" s="194"/>
      <c r="L101" s="165">
        <v>0</v>
      </c>
    </row>
    <row r="102" spans="1:12" ht="15">
      <c r="A102" s="158">
        <v>46772</v>
      </c>
      <c r="B102" s="214">
        <v>0</v>
      </c>
      <c r="C102" s="73"/>
      <c r="D102" s="165">
        <v>0</v>
      </c>
      <c r="E102" s="191"/>
      <c r="F102" s="165">
        <v>0</v>
      </c>
      <c r="G102" s="191"/>
      <c r="H102" s="165">
        <v>0</v>
      </c>
      <c r="I102" s="191"/>
      <c r="J102" s="165">
        <v>0</v>
      </c>
      <c r="K102" s="194"/>
      <c r="L102" s="165">
        <v>0</v>
      </c>
    </row>
    <row r="103" spans="1:12" ht="15">
      <c r="A103" s="158">
        <v>46803</v>
      </c>
      <c r="B103" s="214">
        <v>0</v>
      </c>
      <c r="C103" s="73"/>
      <c r="D103" s="165">
        <v>0</v>
      </c>
      <c r="E103" s="191"/>
      <c r="F103" s="165">
        <v>0</v>
      </c>
      <c r="G103" s="191"/>
      <c r="H103" s="165">
        <v>0</v>
      </c>
      <c r="I103" s="191"/>
      <c r="J103" s="165">
        <v>0</v>
      </c>
      <c r="K103" s="191"/>
      <c r="L103" s="165">
        <v>0</v>
      </c>
    </row>
    <row r="104" spans="1:12" ht="15">
      <c r="A104" s="158">
        <v>46832</v>
      </c>
      <c r="B104" s="214">
        <v>0</v>
      </c>
      <c r="C104" s="73"/>
      <c r="D104" s="165">
        <v>0</v>
      </c>
      <c r="E104" s="191"/>
      <c r="F104" s="165">
        <v>0</v>
      </c>
      <c r="G104" s="191"/>
      <c r="H104" s="165">
        <v>0</v>
      </c>
      <c r="I104" s="191"/>
      <c r="J104" s="165">
        <v>0</v>
      </c>
      <c r="K104" s="191"/>
      <c r="L104" s="165">
        <v>0</v>
      </c>
    </row>
    <row r="105" spans="1:12" ht="15">
      <c r="A105" s="158">
        <v>46863</v>
      </c>
      <c r="B105" s="214">
        <v>0</v>
      </c>
      <c r="C105" s="73"/>
      <c r="D105" s="165">
        <v>0</v>
      </c>
      <c r="E105" s="191"/>
      <c r="F105" s="165">
        <v>0</v>
      </c>
      <c r="G105" s="191"/>
      <c r="H105" s="165">
        <v>0</v>
      </c>
      <c r="I105" s="191"/>
      <c r="J105" s="165">
        <v>0</v>
      </c>
      <c r="K105" s="191"/>
      <c r="L105" s="165">
        <v>0</v>
      </c>
    </row>
    <row r="106" spans="1:12" ht="15">
      <c r="A106" s="158">
        <v>46893</v>
      </c>
      <c r="B106" s="214">
        <v>0</v>
      </c>
      <c r="C106" s="73"/>
      <c r="D106" s="165">
        <v>0</v>
      </c>
      <c r="E106" s="193"/>
      <c r="F106" s="165">
        <v>0</v>
      </c>
      <c r="G106" s="193"/>
      <c r="H106" s="165">
        <v>0</v>
      </c>
      <c r="I106" s="193"/>
      <c r="J106" s="165">
        <v>0</v>
      </c>
      <c r="K106" s="193"/>
      <c r="L106" s="165">
        <v>0</v>
      </c>
    </row>
    <row r="107" spans="1:12" ht="15">
      <c r="A107" s="158">
        <v>46924</v>
      </c>
      <c r="B107" s="214">
        <v>0</v>
      </c>
      <c r="C107" s="73"/>
      <c r="D107" s="165">
        <v>0</v>
      </c>
      <c r="E107" s="191"/>
      <c r="F107" s="165">
        <v>0</v>
      </c>
      <c r="G107" s="191"/>
      <c r="H107" s="165">
        <v>0</v>
      </c>
      <c r="I107" s="191"/>
      <c r="J107" s="165">
        <v>0</v>
      </c>
      <c r="K107" s="191"/>
      <c r="L107" s="165">
        <v>0</v>
      </c>
    </row>
    <row r="108" spans="1:12" ht="15">
      <c r="A108" s="158">
        <v>46954</v>
      </c>
      <c r="B108" s="214">
        <v>0</v>
      </c>
      <c r="C108" s="73"/>
      <c r="D108" s="165">
        <v>0</v>
      </c>
      <c r="E108" s="191"/>
      <c r="F108" s="165">
        <v>0</v>
      </c>
      <c r="G108" s="193"/>
      <c r="H108" s="165">
        <v>0</v>
      </c>
      <c r="I108" s="193"/>
      <c r="J108" s="165">
        <v>0</v>
      </c>
      <c r="K108" s="191"/>
      <c r="L108" s="165">
        <v>0</v>
      </c>
    </row>
    <row r="109" spans="1:12" ht="15">
      <c r="A109" s="158">
        <v>46985</v>
      </c>
      <c r="B109" s="214">
        <v>0</v>
      </c>
      <c r="C109" s="73"/>
      <c r="D109" s="165">
        <v>0</v>
      </c>
      <c r="E109" s="191"/>
      <c r="F109" s="165">
        <v>0</v>
      </c>
      <c r="G109" s="191"/>
      <c r="H109" s="165">
        <v>0</v>
      </c>
      <c r="I109" s="195"/>
      <c r="J109" s="165">
        <v>0</v>
      </c>
      <c r="K109" s="191"/>
      <c r="L109" s="165">
        <v>0</v>
      </c>
    </row>
    <row r="110" spans="1:12" ht="15">
      <c r="A110" s="158">
        <v>47016</v>
      </c>
      <c r="B110" s="214">
        <v>0</v>
      </c>
      <c r="C110" s="73"/>
      <c r="D110" s="165">
        <v>0</v>
      </c>
      <c r="E110" s="191"/>
      <c r="F110" s="165">
        <v>0</v>
      </c>
      <c r="G110" s="191"/>
      <c r="H110" s="165">
        <v>0</v>
      </c>
      <c r="I110" s="195"/>
      <c r="J110" s="165">
        <v>0</v>
      </c>
      <c r="K110" s="191"/>
      <c r="L110" s="165">
        <v>0</v>
      </c>
    </row>
    <row r="111" spans="1:12" ht="15">
      <c r="A111" s="158">
        <v>47046</v>
      </c>
      <c r="B111" s="214">
        <v>0</v>
      </c>
      <c r="C111" s="73"/>
      <c r="D111" s="165">
        <v>0</v>
      </c>
      <c r="E111" s="191"/>
      <c r="F111" s="165">
        <v>0</v>
      </c>
      <c r="G111" s="191"/>
      <c r="H111" s="165">
        <v>0</v>
      </c>
      <c r="I111" s="191"/>
      <c r="J111" s="165">
        <v>0</v>
      </c>
      <c r="K111" s="191"/>
      <c r="L111" s="165">
        <v>0</v>
      </c>
    </row>
    <row r="112" spans="1:12" ht="15">
      <c r="A112" s="158">
        <v>47077</v>
      </c>
      <c r="B112" s="214">
        <v>0</v>
      </c>
      <c r="C112" s="73"/>
      <c r="D112" s="165">
        <v>0</v>
      </c>
      <c r="E112" s="191"/>
      <c r="F112" s="165">
        <v>0</v>
      </c>
      <c r="G112" s="191"/>
      <c r="H112" s="165">
        <v>0</v>
      </c>
      <c r="I112" s="191"/>
      <c r="J112" s="165">
        <v>0</v>
      </c>
      <c r="K112" s="191"/>
      <c r="L112" s="165">
        <v>0</v>
      </c>
    </row>
    <row r="113" spans="1:12" ht="15">
      <c r="A113" s="158">
        <v>47107</v>
      </c>
      <c r="B113" s="214">
        <v>0</v>
      </c>
      <c r="C113" s="73"/>
      <c r="D113" s="165">
        <v>0</v>
      </c>
      <c r="E113" s="193"/>
      <c r="F113" s="165">
        <v>0</v>
      </c>
      <c r="G113" s="191"/>
      <c r="H113" s="165">
        <v>0</v>
      </c>
      <c r="I113" s="191"/>
      <c r="J113" s="165">
        <v>0</v>
      </c>
      <c r="K113" s="191"/>
      <c r="L113" s="165">
        <v>0</v>
      </c>
    </row>
    <row r="114" spans="1:12" ht="15">
      <c r="A114" s="158">
        <v>47138</v>
      </c>
      <c r="B114" s="214">
        <v>0</v>
      </c>
      <c r="C114" s="73"/>
      <c r="D114" s="165">
        <v>0</v>
      </c>
      <c r="E114" s="191"/>
      <c r="F114" s="165">
        <v>0</v>
      </c>
      <c r="G114" s="194"/>
      <c r="H114" s="165">
        <v>0</v>
      </c>
      <c r="I114" s="191"/>
      <c r="J114" s="165">
        <v>0</v>
      </c>
      <c r="K114" s="193"/>
      <c r="L114" s="165">
        <v>0</v>
      </c>
    </row>
    <row r="115" spans="1:12" ht="15">
      <c r="A115" s="158">
        <v>47169</v>
      </c>
      <c r="B115" s="214">
        <v>0</v>
      </c>
      <c r="C115" s="73"/>
      <c r="D115" s="165">
        <v>0</v>
      </c>
      <c r="E115" s="191"/>
      <c r="F115" s="165">
        <v>0</v>
      </c>
      <c r="G115" s="194"/>
      <c r="H115" s="165">
        <v>0</v>
      </c>
      <c r="I115" s="191"/>
      <c r="J115" s="165">
        <v>0</v>
      </c>
      <c r="K115" s="191"/>
      <c r="L115" s="165">
        <v>0</v>
      </c>
    </row>
    <row r="116" spans="1:12" ht="15">
      <c r="A116" s="158">
        <v>47197</v>
      </c>
      <c r="B116" s="214">
        <v>0</v>
      </c>
      <c r="C116" s="73"/>
      <c r="D116" s="165">
        <v>0</v>
      </c>
      <c r="E116" s="191"/>
      <c r="F116" s="165">
        <v>0</v>
      </c>
      <c r="G116" s="191"/>
      <c r="H116" s="165">
        <v>0</v>
      </c>
      <c r="I116" s="191"/>
      <c r="J116" s="165">
        <v>0</v>
      </c>
      <c r="K116" s="191"/>
      <c r="L116" s="165">
        <v>0</v>
      </c>
    </row>
    <row r="117" spans="1:12" ht="15">
      <c r="A117" s="158">
        <v>47228</v>
      </c>
      <c r="B117" s="214">
        <v>0</v>
      </c>
      <c r="C117" s="73"/>
      <c r="D117" s="165">
        <v>0</v>
      </c>
      <c r="E117" s="191"/>
      <c r="F117" s="165">
        <v>0</v>
      </c>
      <c r="G117" s="191"/>
      <c r="H117" s="165">
        <v>0</v>
      </c>
      <c r="I117" s="191"/>
      <c r="J117" s="165">
        <v>0</v>
      </c>
      <c r="K117" s="191"/>
      <c r="L117" s="165">
        <v>0</v>
      </c>
    </row>
    <row r="118" spans="1:12" ht="15">
      <c r="A118" s="158">
        <v>47258</v>
      </c>
      <c r="B118" s="214">
        <v>0</v>
      </c>
      <c r="C118" s="73"/>
      <c r="D118" s="165">
        <v>0</v>
      </c>
      <c r="E118" s="194"/>
      <c r="F118" s="165">
        <v>0</v>
      </c>
      <c r="G118" s="191"/>
      <c r="H118" s="165">
        <v>0</v>
      </c>
      <c r="I118" s="191"/>
      <c r="J118" s="165">
        <v>0</v>
      </c>
      <c r="K118" s="194"/>
      <c r="L118" s="165">
        <v>0</v>
      </c>
    </row>
    <row r="119" spans="1:12" ht="15">
      <c r="A119" s="158">
        <v>47289</v>
      </c>
      <c r="B119" s="214">
        <v>0</v>
      </c>
      <c r="C119" s="73"/>
      <c r="D119" s="165">
        <v>0</v>
      </c>
      <c r="E119" s="194"/>
      <c r="F119" s="165">
        <v>0</v>
      </c>
      <c r="G119" s="191"/>
      <c r="H119" s="165">
        <v>0</v>
      </c>
      <c r="I119" s="195"/>
      <c r="J119" s="165">
        <v>0</v>
      </c>
      <c r="K119" s="191"/>
      <c r="L119" s="165">
        <v>0</v>
      </c>
    </row>
    <row r="120" spans="1:12" ht="15">
      <c r="A120" s="158">
        <v>47319</v>
      </c>
      <c r="B120" s="214">
        <v>0</v>
      </c>
      <c r="C120" s="73"/>
      <c r="D120" s="165">
        <v>0</v>
      </c>
      <c r="E120" s="191"/>
      <c r="F120" s="165">
        <v>0</v>
      </c>
      <c r="G120" s="191"/>
      <c r="H120" s="165">
        <v>0</v>
      </c>
      <c r="I120" s="194"/>
      <c r="J120" s="165">
        <v>0</v>
      </c>
      <c r="K120" s="191"/>
      <c r="L120" s="165">
        <v>0</v>
      </c>
    </row>
    <row r="121" spans="1:12" ht="15">
      <c r="A121" s="158">
        <v>47350</v>
      </c>
      <c r="B121" s="214">
        <v>0</v>
      </c>
      <c r="C121" s="73"/>
      <c r="D121" s="165">
        <v>0</v>
      </c>
      <c r="E121" s="194"/>
      <c r="F121" s="165">
        <v>0</v>
      </c>
      <c r="G121" s="194"/>
      <c r="H121" s="165">
        <v>0</v>
      </c>
      <c r="I121" s="191"/>
      <c r="J121" s="165">
        <v>0</v>
      </c>
      <c r="K121" s="191"/>
      <c r="L121" s="165">
        <v>0</v>
      </c>
    </row>
    <row r="122" spans="1:12" ht="15">
      <c r="A122" s="158">
        <v>47381</v>
      </c>
      <c r="B122" s="214">
        <v>0</v>
      </c>
      <c r="C122" s="73"/>
      <c r="D122" s="165">
        <v>0</v>
      </c>
      <c r="E122" s="191"/>
      <c r="F122" s="165">
        <v>0</v>
      </c>
      <c r="G122" s="191"/>
      <c r="H122" s="165">
        <v>0</v>
      </c>
      <c r="I122" s="191"/>
      <c r="J122" s="165">
        <v>0</v>
      </c>
      <c r="K122" s="191"/>
      <c r="L122" s="165">
        <v>0</v>
      </c>
    </row>
    <row r="123" spans="1:12" ht="15">
      <c r="A123" s="158">
        <v>47411</v>
      </c>
      <c r="B123" s="162">
        <v>0</v>
      </c>
      <c r="C123" s="73"/>
      <c r="D123" s="165">
        <v>0</v>
      </c>
      <c r="E123" s="191"/>
      <c r="F123" s="165">
        <v>0</v>
      </c>
      <c r="G123" s="191"/>
      <c r="H123" s="165">
        <v>0</v>
      </c>
      <c r="I123" s="191"/>
      <c r="J123" s="165">
        <v>0</v>
      </c>
      <c r="K123" s="191"/>
      <c r="L123" s="165">
        <v>0</v>
      </c>
    </row>
    <row r="124" spans="1:12" ht="15">
      <c r="A124" s="158">
        <v>47442</v>
      </c>
      <c r="B124" s="162">
        <v>0</v>
      </c>
      <c r="C124" s="73"/>
      <c r="D124" s="165">
        <v>0</v>
      </c>
      <c r="E124" s="191"/>
      <c r="F124" s="165">
        <v>0</v>
      </c>
      <c r="G124" s="191"/>
      <c r="H124" s="165">
        <v>0</v>
      </c>
      <c r="I124" s="191"/>
      <c r="J124" s="165">
        <v>0</v>
      </c>
      <c r="K124" s="191"/>
      <c r="L124" s="165">
        <v>0</v>
      </c>
    </row>
    <row r="125" spans="1:12" ht="15">
      <c r="A125" s="158">
        <v>47472</v>
      </c>
      <c r="B125" s="162">
        <v>0</v>
      </c>
      <c r="C125" s="73"/>
      <c r="D125" s="165">
        <v>0</v>
      </c>
      <c r="E125" s="191"/>
      <c r="F125" s="165">
        <v>0</v>
      </c>
      <c r="G125" s="191"/>
      <c r="H125" s="165">
        <v>0</v>
      </c>
      <c r="I125" s="191"/>
      <c r="J125" s="165">
        <v>0</v>
      </c>
      <c r="K125" s="191"/>
      <c r="L125" s="165">
        <v>0</v>
      </c>
    </row>
    <row r="126" spans="1:12" ht="15">
      <c r="A126" s="158">
        <v>47503</v>
      </c>
      <c r="B126" s="162">
        <v>0</v>
      </c>
      <c r="C126" s="73"/>
      <c r="D126" s="165">
        <v>0</v>
      </c>
      <c r="E126" s="191"/>
      <c r="F126" s="165">
        <v>0</v>
      </c>
      <c r="G126" s="191"/>
      <c r="H126" s="165">
        <v>0</v>
      </c>
      <c r="I126" s="191"/>
      <c r="J126" s="165">
        <v>0</v>
      </c>
      <c r="K126" s="191"/>
      <c r="L126" s="165">
        <v>0</v>
      </c>
    </row>
    <row r="127" spans="1:12" ht="15">
      <c r="A127" s="158">
        <v>47534</v>
      </c>
      <c r="B127" s="162">
        <v>0</v>
      </c>
      <c r="C127" s="73"/>
      <c r="D127" s="165">
        <v>0</v>
      </c>
      <c r="E127" s="191"/>
      <c r="F127" s="165">
        <v>0</v>
      </c>
      <c r="G127" s="191"/>
      <c r="H127" s="165">
        <v>0</v>
      </c>
      <c r="I127" s="193"/>
      <c r="J127" s="165">
        <v>0</v>
      </c>
      <c r="K127" s="191"/>
      <c r="L127" s="165">
        <v>0</v>
      </c>
    </row>
    <row r="128" spans="1:12" ht="15">
      <c r="A128" s="158">
        <v>47562</v>
      </c>
      <c r="B128" s="162">
        <v>0</v>
      </c>
      <c r="C128" s="73"/>
      <c r="D128" s="165">
        <v>0</v>
      </c>
      <c r="E128" s="191"/>
      <c r="F128" s="165">
        <v>0</v>
      </c>
      <c r="G128" s="191"/>
      <c r="H128" s="165">
        <v>0</v>
      </c>
      <c r="I128" s="191"/>
      <c r="J128" s="165">
        <v>0</v>
      </c>
      <c r="K128" s="191"/>
      <c r="L128" s="165">
        <v>0</v>
      </c>
    </row>
    <row r="129" spans="1:12" ht="15">
      <c r="A129" s="158">
        <v>47593</v>
      </c>
      <c r="B129" s="162">
        <v>0</v>
      </c>
      <c r="C129" s="73"/>
      <c r="D129" s="165">
        <v>0</v>
      </c>
      <c r="E129" s="191"/>
      <c r="F129" s="165">
        <v>0</v>
      </c>
      <c r="G129" s="191"/>
      <c r="H129" s="165">
        <v>0</v>
      </c>
      <c r="I129" s="191"/>
      <c r="J129" s="165">
        <v>0</v>
      </c>
      <c r="K129" s="191"/>
      <c r="L129" s="165">
        <v>0</v>
      </c>
    </row>
    <row r="130" spans="1:12" ht="15">
      <c r="A130" s="158">
        <v>47623</v>
      </c>
      <c r="B130" s="162">
        <v>0</v>
      </c>
      <c r="C130" s="73"/>
      <c r="D130" s="165">
        <v>0</v>
      </c>
      <c r="E130" s="191"/>
      <c r="F130" s="165">
        <v>0</v>
      </c>
      <c r="G130" s="191"/>
      <c r="H130" s="165">
        <v>0</v>
      </c>
      <c r="I130" s="191"/>
      <c r="J130" s="165">
        <v>0</v>
      </c>
      <c r="K130" s="191"/>
      <c r="L130" s="165">
        <v>0</v>
      </c>
    </row>
    <row r="131" spans="1:12" ht="15">
      <c r="A131" s="158">
        <v>47654</v>
      </c>
      <c r="B131" s="162">
        <v>0</v>
      </c>
      <c r="C131" s="73"/>
      <c r="D131" s="165">
        <v>0</v>
      </c>
      <c r="E131" s="191"/>
      <c r="F131" s="165">
        <v>0</v>
      </c>
      <c r="G131" s="191"/>
      <c r="H131" s="165">
        <v>0</v>
      </c>
      <c r="I131" s="191"/>
      <c r="J131" s="165">
        <v>0</v>
      </c>
      <c r="K131" s="191"/>
      <c r="L131" s="165">
        <v>0</v>
      </c>
    </row>
    <row r="132" spans="1:12" ht="15">
      <c r="A132" s="158">
        <v>47684</v>
      </c>
      <c r="B132" s="162">
        <v>0</v>
      </c>
      <c r="C132" s="73"/>
      <c r="D132" s="165">
        <v>0</v>
      </c>
      <c r="E132" s="191"/>
      <c r="F132" s="165">
        <v>0</v>
      </c>
      <c r="G132" s="191"/>
      <c r="H132" s="165">
        <v>0</v>
      </c>
      <c r="I132" s="191"/>
      <c r="J132" s="165">
        <v>0</v>
      </c>
      <c r="K132" s="191"/>
      <c r="L132" s="165">
        <v>0</v>
      </c>
    </row>
    <row r="133" spans="1:12" ht="15">
      <c r="A133" s="158">
        <v>47715</v>
      </c>
      <c r="B133" s="162">
        <v>0</v>
      </c>
      <c r="C133" s="73"/>
      <c r="D133" s="165">
        <v>0</v>
      </c>
      <c r="E133" s="191"/>
      <c r="F133" s="165">
        <v>0</v>
      </c>
      <c r="G133" s="191"/>
      <c r="H133" s="165">
        <v>0</v>
      </c>
      <c r="I133" s="191"/>
      <c r="J133" s="165">
        <v>0</v>
      </c>
      <c r="K133" s="191"/>
      <c r="L133" s="165">
        <v>0</v>
      </c>
    </row>
    <row r="134" spans="1:12" ht="15">
      <c r="A134" s="158">
        <v>47746</v>
      </c>
      <c r="B134" s="162">
        <v>0</v>
      </c>
      <c r="C134" s="73"/>
      <c r="D134" s="165">
        <v>0</v>
      </c>
      <c r="E134" s="191"/>
      <c r="F134" s="165">
        <v>0</v>
      </c>
      <c r="G134" s="191"/>
      <c r="H134" s="165">
        <v>0</v>
      </c>
      <c r="I134" s="191"/>
      <c r="J134" s="165">
        <v>0</v>
      </c>
      <c r="K134" s="191"/>
      <c r="L134" s="165">
        <v>0</v>
      </c>
    </row>
    <row r="135" spans="1:12" ht="15">
      <c r="A135" s="158">
        <v>47776</v>
      </c>
      <c r="B135" s="162">
        <v>0</v>
      </c>
      <c r="C135" s="73"/>
      <c r="D135" s="165">
        <v>0</v>
      </c>
      <c r="E135" s="191"/>
      <c r="F135" s="165">
        <v>0</v>
      </c>
      <c r="G135" s="191"/>
      <c r="H135" s="165">
        <v>0</v>
      </c>
      <c r="I135" s="191"/>
      <c r="J135" s="165">
        <v>0</v>
      </c>
      <c r="K135" s="191"/>
      <c r="L135" s="165">
        <v>0</v>
      </c>
    </row>
    <row r="136" spans="1:12" ht="15">
      <c r="A136" s="158">
        <v>47807</v>
      </c>
      <c r="B136" s="162">
        <v>0</v>
      </c>
      <c r="C136" s="73"/>
      <c r="D136" s="165">
        <v>0</v>
      </c>
      <c r="E136" s="191"/>
      <c r="F136" s="165">
        <v>0</v>
      </c>
      <c r="G136" s="191"/>
      <c r="H136" s="165">
        <v>0</v>
      </c>
      <c r="I136" s="191"/>
      <c r="J136" s="165">
        <v>0</v>
      </c>
      <c r="K136" s="191"/>
      <c r="L136" s="165">
        <v>0</v>
      </c>
    </row>
    <row r="137" spans="1:12" ht="15">
      <c r="A137" s="158">
        <v>47837</v>
      </c>
      <c r="B137" s="162">
        <v>0</v>
      </c>
      <c r="C137" s="73"/>
      <c r="D137" s="165">
        <v>0</v>
      </c>
      <c r="E137" s="191"/>
      <c r="F137" s="165">
        <v>0</v>
      </c>
      <c r="G137" s="191"/>
      <c r="H137" s="165">
        <v>0</v>
      </c>
      <c r="I137" s="191"/>
      <c r="J137" s="165">
        <v>0</v>
      </c>
      <c r="K137" s="191"/>
      <c r="L137" s="165">
        <v>0</v>
      </c>
    </row>
    <row r="138" spans="1:12" ht="15">
      <c r="A138" s="158">
        <v>47868</v>
      </c>
      <c r="B138" s="162">
        <v>0</v>
      </c>
      <c r="C138" s="73"/>
      <c r="D138" s="165">
        <v>0</v>
      </c>
      <c r="E138" s="191"/>
      <c r="F138" s="165">
        <v>0</v>
      </c>
      <c r="G138" s="193"/>
      <c r="H138" s="165">
        <v>0</v>
      </c>
      <c r="I138" s="191"/>
      <c r="J138" s="165">
        <v>0</v>
      </c>
      <c r="K138" s="191"/>
      <c r="L138" s="165">
        <v>0</v>
      </c>
    </row>
    <row r="139" spans="1:12" ht="15">
      <c r="A139" s="158">
        <v>47899</v>
      </c>
      <c r="B139" s="162">
        <v>0</v>
      </c>
      <c r="C139" s="73"/>
      <c r="D139" s="165">
        <v>0</v>
      </c>
      <c r="E139" s="191"/>
      <c r="F139" s="165">
        <v>0</v>
      </c>
      <c r="G139" s="191"/>
      <c r="H139" s="165">
        <v>0</v>
      </c>
      <c r="I139" s="191"/>
      <c r="J139" s="165">
        <v>0</v>
      </c>
      <c r="K139" s="191"/>
      <c r="L139" s="165">
        <v>0</v>
      </c>
    </row>
    <row r="140" spans="1:12" ht="15">
      <c r="A140" s="158">
        <v>47927</v>
      </c>
      <c r="B140" s="162">
        <v>0</v>
      </c>
      <c r="C140" s="73"/>
      <c r="D140" s="165">
        <v>0</v>
      </c>
      <c r="E140" s="191"/>
      <c r="F140" s="165">
        <v>0</v>
      </c>
      <c r="G140" s="191"/>
      <c r="H140" s="165">
        <v>0</v>
      </c>
      <c r="I140" s="191"/>
      <c r="J140" s="165">
        <v>0</v>
      </c>
      <c r="K140" s="191"/>
      <c r="L140" s="165">
        <v>0</v>
      </c>
    </row>
    <row r="141" spans="1:12" ht="15">
      <c r="A141" s="158">
        <v>47958</v>
      </c>
      <c r="B141" s="162">
        <v>0</v>
      </c>
      <c r="C141" s="73"/>
      <c r="D141" s="165">
        <v>0</v>
      </c>
      <c r="E141" s="191"/>
      <c r="F141" s="165">
        <v>0</v>
      </c>
      <c r="G141" s="191"/>
      <c r="H141" s="165">
        <v>0</v>
      </c>
      <c r="I141" s="191"/>
      <c r="J141" s="165">
        <v>0</v>
      </c>
      <c r="K141" s="191"/>
      <c r="L141" s="165">
        <v>0</v>
      </c>
    </row>
    <row r="142" spans="1:12" ht="15">
      <c r="A142" s="158">
        <v>47988</v>
      </c>
      <c r="B142" s="162">
        <v>0</v>
      </c>
      <c r="C142" s="73"/>
      <c r="D142" s="165">
        <v>0</v>
      </c>
      <c r="E142" s="191"/>
      <c r="F142" s="165">
        <v>0</v>
      </c>
      <c r="G142" s="191"/>
      <c r="H142" s="165">
        <v>0</v>
      </c>
      <c r="I142" s="191"/>
      <c r="J142" s="165">
        <v>0</v>
      </c>
      <c r="K142" s="191"/>
      <c r="L142" s="165">
        <v>0</v>
      </c>
    </row>
    <row r="143" spans="1:12" ht="15">
      <c r="A143" s="158">
        <v>48019</v>
      </c>
      <c r="B143" s="162">
        <v>0</v>
      </c>
      <c r="C143" s="73"/>
      <c r="D143" s="165">
        <v>0</v>
      </c>
      <c r="E143" s="191"/>
      <c r="F143" s="165">
        <v>0</v>
      </c>
      <c r="G143" s="191"/>
      <c r="H143" s="165">
        <v>0</v>
      </c>
      <c r="I143" s="191"/>
      <c r="J143" s="165">
        <v>0</v>
      </c>
      <c r="K143" s="191"/>
      <c r="L143" s="165">
        <v>0</v>
      </c>
    </row>
    <row r="144" spans="1:12" ht="15">
      <c r="A144" s="158">
        <v>48049</v>
      </c>
      <c r="B144" s="162">
        <v>0</v>
      </c>
      <c r="C144" s="73"/>
      <c r="D144" s="165">
        <v>0</v>
      </c>
      <c r="E144" s="191"/>
      <c r="F144" s="165">
        <v>0</v>
      </c>
      <c r="G144" s="191"/>
      <c r="H144" s="165">
        <v>0</v>
      </c>
      <c r="I144" s="191"/>
      <c r="J144" s="165">
        <v>0</v>
      </c>
      <c r="K144" s="191"/>
      <c r="L144" s="165">
        <v>0</v>
      </c>
    </row>
    <row r="145" spans="1:12" ht="15">
      <c r="A145" s="158">
        <v>48080</v>
      </c>
      <c r="B145" s="162">
        <v>0</v>
      </c>
      <c r="C145" s="73"/>
      <c r="D145" s="165">
        <v>0</v>
      </c>
      <c r="E145" s="191"/>
      <c r="F145" s="165">
        <v>0</v>
      </c>
      <c r="G145" s="191"/>
      <c r="H145" s="165">
        <v>0</v>
      </c>
      <c r="I145" s="191"/>
      <c r="J145" s="165">
        <v>0</v>
      </c>
      <c r="K145" s="191"/>
      <c r="L145" s="165">
        <v>0</v>
      </c>
    </row>
    <row r="146" spans="1:12" ht="15">
      <c r="A146" s="158">
        <v>48111</v>
      </c>
      <c r="B146" s="162">
        <v>0</v>
      </c>
      <c r="C146" s="73"/>
      <c r="D146" s="165">
        <v>0</v>
      </c>
      <c r="E146" s="193"/>
      <c r="F146" s="165">
        <v>0</v>
      </c>
      <c r="G146" s="193"/>
      <c r="H146" s="165">
        <v>0</v>
      </c>
      <c r="I146" s="193"/>
      <c r="J146" s="165">
        <v>0</v>
      </c>
      <c r="K146" s="193"/>
      <c r="L146" s="165">
        <v>0</v>
      </c>
    </row>
    <row r="147" spans="1:12" ht="15">
      <c r="A147" s="158">
        <v>48141</v>
      </c>
      <c r="B147" s="162">
        <v>0</v>
      </c>
      <c r="C147" s="73"/>
      <c r="D147" s="165">
        <v>0</v>
      </c>
      <c r="E147" s="191"/>
      <c r="F147" s="165">
        <v>0</v>
      </c>
      <c r="G147" s="191"/>
      <c r="H147" s="165">
        <v>0</v>
      </c>
      <c r="I147" s="191"/>
      <c r="J147" s="165">
        <v>0</v>
      </c>
      <c r="K147" s="191"/>
      <c r="L147" s="165">
        <v>0</v>
      </c>
    </row>
    <row r="148" spans="1:12" ht="15">
      <c r="A148" s="158">
        <v>48172</v>
      </c>
      <c r="B148" s="162">
        <v>0</v>
      </c>
      <c r="C148" s="73"/>
      <c r="D148" s="165">
        <v>0</v>
      </c>
      <c r="E148" s="193"/>
      <c r="F148" s="165">
        <v>0</v>
      </c>
      <c r="G148" s="191"/>
      <c r="H148" s="165">
        <v>0</v>
      </c>
      <c r="I148" s="191"/>
      <c r="J148" s="165">
        <v>0</v>
      </c>
      <c r="K148" s="191"/>
      <c r="L148" s="165">
        <v>0</v>
      </c>
    </row>
    <row r="149" spans="1:12" ht="15">
      <c r="A149" s="158">
        <v>48202</v>
      </c>
      <c r="B149" s="162">
        <v>0</v>
      </c>
      <c r="C149" s="73"/>
      <c r="D149" s="165">
        <v>0</v>
      </c>
      <c r="E149" s="191"/>
      <c r="F149" s="165">
        <v>0</v>
      </c>
      <c r="G149" s="191"/>
      <c r="H149" s="165">
        <v>0</v>
      </c>
      <c r="I149" s="191"/>
      <c r="J149" s="165">
        <v>0</v>
      </c>
      <c r="K149" s="191"/>
      <c r="L149" s="165">
        <v>0</v>
      </c>
    </row>
    <row r="150" spans="1:12" ht="15">
      <c r="A150" s="158">
        <v>48233</v>
      </c>
      <c r="B150" s="162">
        <v>0</v>
      </c>
      <c r="C150" s="73"/>
      <c r="D150" s="165">
        <v>0</v>
      </c>
      <c r="E150" s="191"/>
      <c r="F150" s="165">
        <v>0</v>
      </c>
      <c r="G150" s="191"/>
      <c r="H150" s="165">
        <v>0</v>
      </c>
      <c r="I150" s="191"/>
      <c r="J150" s="165">
        <v>0</v>
      </c>
      <c r="K150" s="191"/>
      <c r="L150" s="165">
        <v>0</v>
      </c>
    </row>
    <row r="151" spans="1:12" ht="15">
      <c r="A151" s="158">
        <v>48264</v>
      </c>
      <c r="B151" s="162">
        <v>0</v>
      </c>
      <c r="C151" s="73"/>
      <c r="D151" s="165">
        <v>0</v>
      </c>
      <c r="E151" s="191"/>
      <c r="F151" s="165">
        <v>0</v>
      </c>
      <c r="G151" s="191"/>
      <c r="H151" s="165">
        <v>0</v>
      </c>
      <c r="I151" s="191"/>
      <c r="J151" s="165">
        <v>0</v>
      </c>
      <c r="K151" s="191"/>
      <c r="L151" s="165">
        <v>0</v>
      </c>
    </row>
    <row r="152" spans="1:12" ht="15">
      <c r="A152" s="158">
        <v>48293</v>
      </c>
      <c r="B152" s="162">
        <v>0</v>
      </c>
      <c r="C152" s="73"/>
      <c r="D152" s="165">
        <v>0</v>
      </c>
      <c r="E152" s="191"/>
      <c r="F152" s="165">
        <v>0</v>
      </c>
      <c r="G152" s="191"/>
      <c r="H152" s="165">
        <v>0</v>
      </c>
      <c r="I152" s="191"/>
      <c r="J152" s="165">
        <v>0</v>
      </c>
      <c r="K152" s="191"/>
      <c r="L152" s="165">
        <v>0</v>
      </c>
    </row>
    <row r="153" spans="1:12" ht="15">
      <c r="A153" s="158">
        <v>48324</v>
      </c>
      <c r="B153" s="162">
        <v>0</v>
      </c>
      <c r="C153" s="73"/>
      <c r="D153" s="165">
        <v>0</v>
      </c>
      <c r="E153" s="191"/>
      <c r="F153" s="165">
        <v>0</v>
      </c>
      <c r="G153" s="191"/>
      <c r="H153" s="165">
        <v>0</v>
      </c>
      <c r="I153" s="191"/>
      <c r="J153" s="165">
        <v>0</v>
      </c>
      <c r="K153" s="191"/>
      <c r="L153" s="165">
        <v>0</v>
      </c>
    </row>
    <row r="154" spans="1:12" ht="15">
      <c r="A154" s="158">
        <v>48354</v>
      </c>
      <c r="B154" s="162">
        <v>0</v>
      </c>
      <c r="C154" s="73"/>
      <c r="D154" s="165">
        <v>0</v>
      </c>
      <c r="E154" s="191"/>
      <c r="F154" s="165">
        <v>0</v>
      </c>
      <c r="G154" s="191"/>
      <c r="H154" s="165">
        <v>0</v>
      </c>
      <c r="I154" s="191"/>
      <c r="J154" s="165">
        <v>0</v>
      </c>
      <c r="K154" s="191"/>
      <c r="L154" s="165">
        <v>0</v>
      </c>
    </row>
    <row r="155" spans="1:12" ht="15">
      <c r="A155" s="158">
        <v>48385</v>
      </c>
      <c r="B155" s="162">
        <v>0</v>
      </c>
      <c r="C155" s="73"/>
      <c r="D155" s="165">
        <v>0</v>
      </c>
      <c r="E155" s="191"/>
      <c r="F155" s="165">
        <v>0</v>
      </c>
      <c r="G155" s="191"/>
      <c r="H155" s="165">
        <v>0</v>
      </c>
      <c r="I155" s="191"/>
      <c r="J155" s="165">
        <v>0</v>
      </c>
      <c r="K155" s="191"/>
      <c r="L155" s="165">
        <v>0</v>
      </c>
    </row>
    <row r="156" spans="1:12" ht="15">
      <c r="A156" s="158">
        <v>48415</v>
      </c>
      <c r="B156" s="162">
        <v>0</v>
      </c>
      <c r="C156" s="73"/>
      <c r="D156" s="165">
        <v>0</v>
      </c>
      <c r="E156" s="191"/>
      <c r="F156" s="165">
        <v>0</v>
      </c>
      <c r="G156" s="191"/>
      <c r="H156" s="165">
        <v>0</v>
      </c>
      <c r="I156" s="191"/>
      <c r="J156" s="165">
        <v>0</v>
      </c>
      <c r="K156" s="191"/>
      <c r="L156" s="165">
        <v>0</v>
      </c>
    </row>
    <row r="157" spans="1:12" ht="15">
      <c r="A157" s="158">
        <v>48446</v>
      </c>
      <c r="B157" s="162">
        <v>0</v>
      </c>
      <c r="D157" s="165">
        <v>0</v>
      </c>
      <c r="E157" s="191"/>
      <c r="F157" s="165">
        <v>0</v>
      </c>
      <c r="G157" s="191"/>
      <c r="H157" s="165">
        <v>0</v>
      </c>
      <c r="I157" s="191"/>
      <c r="J157" s="165">
        <v>0</v>
      </c>
      <c r="K157" s="191"/>
      <c r="L157" s="165">
        <v>0</v>
      </c>
    </row>
    <row r="158" spans="1:12" ht="15">
      <c r="A158" s="158">
        <v>48477</v>
      </c>
      <c r="B158" s="162">
        <v>0</v>
      </c>
      <c r="D158" s="165">
        <v>0</v>
      </c>
      <c r="E158" s="191"/>
      <c r="F158" s="165">
        <v>0</v>
      </c>
      <c r="G158" s="191"/>
      <c r="H158" s="165">
        <v>0</v>
      </c>
      <c r="I158" s="191"/>
      <c r="J158" s="165">
        <v>0</v>
      </c>
      <c r="K158" s="191"/>
      <c r="L158" s="165">
        <v>0</v>
      </c>
    </row>
    <row r="159" spans="1:12" ht="15">
      <c r="A159" s="158">
        <v>48507</v>
      </c>
      <c r="B159" s="162">
        <v>0</v>
      </c>
      <c r="D159" s="165">
        <v>0</v>
      </c>
      <c r="E159" s="191"/>
      <c r="F159" s="165">
        <v>0</v>
      </c>
      <c r="G159" s="191"/>
      <c r="H159" s="165">
        <v>0</v>
      </c>
      <c r="I159" s="191"/>
      <c r="J159" s="165">
        <v>0</v>
      </c>
      <c r="K159" s="191"/>
      <c r="L159" s="165">
        <v>0</v>
      </c>
    </row>
    <row r="160" spans="1:12" ht="15">
      <c r="A160" s="158">
        <v>48538</v>
      </c>
      <c r="B160" s="162">
        <v>0</v>
      </c>
      <c r="D160" s="165">
        <v>0</v>
      </c>
      <c r="E160" s="191"/>
      <c r="F160" s="165">
        <v>0</v>
      </c>
      <c r="G160" s="191"/>
      <c r="H160" s="165">
        <v>0</v>
      </c>
      <c r="I160" s="191"/>
      <c r="J160" s="165">
        <v>0</v>
      </c>
      <c r="K160" s="191"/>
      <c r="L160" s="165">
        <v>0</v>
      </c>
    </row>
    <row r="161" spans="1:12" ht="15">
      <c r="A161" s="158">
        <v>48568</v>
      </c>
      <c r="B161" s="162">
        <v>0</v>
      </c>
      <c r="D161" s="165">
        <v>0</v>
      </c>
      <c r="E161" s="191"/>
      <c r="F161" s="165">
        <v>0</v>
      </c>
      <c r="G161" s="191"/>
      <c r="H161" s="165">
        <v>0</v>
      </c>
      <c r="I161" s="191"/>
      <c r="J161" s="165">
        <v>0</v>
      </c>
      <c r="K161" s="191"/>
      <c r="L161" s="165">
        <v>0</v>
      </c>
    </row>
    <row r="162" spans="1:12" ht="15">
      <c r="A162" s="158">
        <v>48599</v>
      </c>
      <c r="B162" s="162">
        <v>0</v>
      </c>
      <c r="D162" s="165">
        <v>0</v>
      </c>
      <c r="E162" s="191"/>
      <c r="F162" s="165">
        <v>0</v>
      </c>
      <c r="G162" s="191"/>
      <c r="H162" s="165">
        <v>0</v>
      </c>
      <c r="I162" s="191"/>
      <c r="J162" s="165">
        <v>0</v>
      </c>
      <c r="K162" s="191"/>
      <c r="L162" s="165">
        <v>0</v>
      </c>
    </row>
    <row r="163" spans="1:12" ht="15">
      <c r="A163" s="158">
        <v>48630</v>
      </c>
      <c r="B163" s="162">
        <v>0</v>
      </c>
      <c r="D163" s="165">
        <v>0</v>
      </c>
      <c r="E163" s="191"/>
      <c r="F163" s="165">
        <v>0</v>
      </c>
      <c r="G163" s="191"/>
      <c r="H163" s="165">
        <v>0</v>
      </c>
      <c r="I163" s="191"/>
      <c r="J163" s="165">
        <v>0</v>
      </c>
      <c r="K163" s="191"/>
      <c r="L163" s="165">
        <v>0</v>
      </c>
    </row>
    <row r="164" spans="1:12" ht="15">
      <c r="A164" s="158">
        <v>48658</v>
      </c>
      <c r="B164" s="162">
        <v>0</v>
      </c>
      <c r="D164" s="165">
        <v>0</v>
      </c>
      <c r="E164" s="191"/>
      <c r="F164" s="165">
        <v>0</v>
      </c>
      <c r="G164" s="191"/>
      <c r="H164" s="165">
        <v>0</v>
      </c>
      <c r="I164" s="191"/>
      <c r="J164" s="165">
        <v>0</v>
      </c>
      <c r="K164" s="191"/>
      <c r="L164" s="165">
        <v>0</v>
      </c>
    </row>
    <row r="165" spans="1:12" ht="15">
      <c r="A165" s="158">
        <v>48689</v>
      </c>
      <c r="B165" s="162">
        <v>0</v>
      </c>
      <c r="D165" s="165">
        <v>0</v>
      </c>
      <c r="E165" s="191"/>
      <c r="F165" s="165">
        <v>0</v>
      </c>
      <c r="G165" s="191"/>
      <c r="H165" s="165">
        <v>0</v>
      </c>
      <c r="I165" s="191"/>
      <c r="J165" s="165">
        <v>0</v>
      </c>
      <c r="K165" s="191"/>
      <c r="L165" s="165">
        <v>0</v>
      </c>
    </row>
    <row r="166" spans="1:12" ht="15">
      <c r="A166" s="158">
        <v>48719</v>
      </c>
      <c r="B166" s="162">
        <v>0</v>
      </c>
      <c r="D166" s="165">
        <v>0</v>
      </c>
      <c r="E166" s="191"/>
      <c r="F166" s="165">
        <v>0</v>
      </c>
      <c r="G166" s="191"/>
      <c r="H166" s="165">
        <v>0</v>
      </c>
      <c r="I166" s="191"/>
      <c r="J166" s="165">
        <v>0</v>
      </c>
      <c r="K166" s="191"/>
      <c r="L166" s="165">
        <v>0</v>
      </c>
    </row>
    <row r="167" spans="1:12" ht="15">
      <c r="A167" s="158">
        <v>48750</v>
      </c>
      <c r="B167" s="162">
        <v>0</v>
      </c>
      <c r="D167" s="165">
        <v>0</v>
      </c>
      <c r="E167" s="191"/>
      <c r="F167" s="165">
        <v>0</v>
      </c>
      <c r="G167" s="191"/>
      <c r="H167" s="165">
        <v>0</v>
      </c>
      <c r="I167" s="191"/>
      <c r="J167" s="165">
        <v>0</v>
      </c>
      <c r="K167" s="191"/>
      <c r="L167" s="165">
        <v>0</v>
      </c>
    </row>
    <row r="168" spans="1:12" ht="15">
      <c r="A168" s="158">
        <v>48780</v>
      </c>
      <c r="B168" s="162">
        <v>0</v>
      </c>
      <c r="D168" s="165">
        <v>0</v>
      </c>
      <c r="E168" s="191"/>
      <c r="F168" s="165">
        <v>0</v>
      </c>
      <c r="G168" s="191"/>
      <c r="H168" s="165">
        <v>0</v>
      </c>
      <c r="I168" s="191"/>
      <c r="J168" s="165">
        <v>0</v>
      </c>
      <c r="K168" s="191"/>
      <c r="L168" s="165">
        <v>0</v>
      </c>
    </row>
    <row r="169" spans="1:12" ht="15">
      <c r="A169" s="158">
        <v>48811</v>
      </c>
      <c r="B169" s="162">
        <v>0</v>
      </c>
      <c r="D169" s="165">
        <v>0</v>
      </c>
      <c r="E169" s="191"/>
      <c r="F169" s="165">
        <v>0</v>
      </c>
      <c r="G169" s="191"/>
      <c r="H169" s="165">
        <v>0</v>
      </c>
      <c r="I169" s="191"/>
      <c r="J169" s="165">
        <v>0</v>
      </c>
      <c r="K169" s="191"/>
      <c r="L169" s="165">
        <v>0</v>
      </c>
    </row>
    <row r="170" spans="1:12" ht="15">
      <c r="A170" s="158">
        <v>48842</v>
      </c>
      <c r="B170" s="162">
        <v>0</v>
      </c>
      <c r="D170" s="165">
        <v>0</v>
      </c>
      <c r="E170" s="196"/>
      <c r="F170" s="165">
        <v>0</v>
      </c>
      <c r="G170" s="196"/>
      <c r="H170" s="165">
        <v>0</v>
      </c>
      <c r="I170" s="196"/>
      <c r="J170" s="165">
        <v>0</v>
      </c>
      <c r="K170" s="196"/>
      <c r="L170" s="165">
        <v>0</v>
      </c>
    </row>
    <row r="171" spans="1:12" ht="15">
      <c r="A171" s="158">
        <v>48872</v>
      </c>
      <c r="B171" s="162">
        <v>0</v>
      </c>
      <c r="D171" s="165">
        <v>0</v>
      </c>
      <c r="E171" s="196"/>
      <c r="F171" s="165">
        <v>0</v>
      </c>
      <c r="G171" s="196"/>
      <c r="H171" s="165">
        <v>0</v>
      </c>
      <c r="I171" s="196"/>
      <c r="J171" s="165">
        <v>0</v>
      </c>
      <c r="K171" s="196"/>
      <c r="L171" s="165">
        <v>0</v>
      </c>
    </row>
    <row r="172" spans="1:12" ht="15">
      <c r="A172" s="158">
        <v>48903</v>
      </c>
      <c r="B172" s="162">
        <v>0</v>
      </c>
      <c r="D172" s="165">
        <v>0</v>
      </c>
      <c r="E172" s="196"/>
      <c r="F172" s="165">
        <v>0</v>
      </c>
      <c r="G172" s="196"/>
      <c r="H172" s="165">
        <v>0</v>
      </c>
      <c r="I172" s="196"/>
      <c r="J172" s="165">
        <v>0</v>
      </c>
      <c r="K172" s="196"/>
      <c r="L172" s="165">
        <v>0</v>
      </c>
    </row>
    <row r="173" spans="1:12" ht="15">
      <c r="A173" s="158">
        <v>48933</v>
      </c>
      <c r="B173" s="162">
        <v>0</v>
      </c>
      <c r="D173" s="165">
        <v>0</v>
      </c>
      <c r="E173" s="196"/>
      <c r="F173" s="165">
        <v>0</v>
      </c>
      <c r="G173" s="196"/>
      <c r="H173" s="165">
        <v>0</v>
      </c>
      <c r="I173" s="196"/>
      <c r="J173" s="165">
        <v>0</v>
      </c>
      <c r="K173" s="196"/>
      <c r="L173" s="165">
        <v>0</v>
      </c>
    </row>
    <row r="174" spans="1:12" ht="15">
      <c r="A174" s="158">
        <v>48964</v>
      </c>
      <c r="B174" s="162">
        <v>0</v>
      </c>
      <c r="D174" s="165">
        <v>0</v>
      </c>
      <c r="E174" s="196"/>
      <c r="F174" s="165">
        <v>0</v>
      </c>
      <c r="G174" s="196"/>
      <c r="H174" s="165">
        <v>0</v>
      </c>
      <c r="I174" s="196"/>
      <c r="J174" s="165">
        <v>0</v>
      </c>
      <c r="K174" s="196"/>
      <c r="L174" s="165">
        <v>0</v>
      </c>
    </row>
    <row r="175" spans="1:12" ht="15">
      <c r="A175" s="158">
        <v>48995</v>
      </c>
      <c r="B175" s="162">
        <v>0</v>
      </c>
      <c r="D175" s="165">
        <v>0</v>
      </c>
      <c r="E175" s="196"/>
      <c r="F175" s="165">
        <v>0</v>
      </c>
      <c r="G175" s="196"/>
      <c r="H175" s="165">
        <v>0</v>
      </c>
      <c r="I175" s="196"/>
      <c r="J175" s="165">
        <v>0</v>
      </c>
      <c r="K175" s="196"/>
      <c r="L175" s="165">
        <v>0</v>
      </c>
    </row>
    <row r="176" spans="1:12" ht="15">
      <c r="A176" s="158">
        <v>49023</v>
      </c>
      <c r="B176" s="162">
        <v>0</v>
      </c>
      <c r="D176" s="165">
        <v>0</v>
      </c>
      <c r="E176" s="196"/>
      <c r="F176" s="165">
        <v>0</v>
      </c>
      <c r="G176" s="196"/>
      <c r="H176" s="165">
        <v>0</v>
      </c>
      <c r="I176" s="196"/>
      <c r="J176" s="165">
        <v>0</v>
      </c>
      <c r="K176" s="196"/>
      <c r="L176" s="165">
        <v>0</v>
      </c>
    </row>
    <row r="177" spans="1:12" ht="15">
      <c r="A177" s="158">
        <v>49054</v>
      </c>
      <c r="B177" s="162">
        <v>0</v>
      </c>
      <c r="D177" s="165">
        <v>0</v>
      </c>
      <c r="E177" s="196"/>
      <c r="F177" s="165">
        <v>0</v>
      </c>
      <c r="G177" s="196"/>
      <c r="H177" s="165">
        <v>0</v>
      </c>
      <c r="I177" s="196"/>
      <c r="J177" s="165">
        <v>0</v>
      </c>
      <c r="K177" s="196"/>
      <c r="L177" s="165">
        <v>0</v>
      </c>
    </row>
    <row r="178" spans="1:12" ht="15">
      <c r="A178" s="158">
        <v>49084</v>
      </c>
      <c r="B178" s="162">
        <v>0</v>
      </c>
      <c r="D178" s="165">
        <v>0</v>
      </c>
      <c r="E178" s="196"/>
      <c r="F178" s="165">
        <v>0</v>
      </c>
      <c r="G178" s="196"/>
      <c r="H178" s="165">
        <v>0</v>
      </c>
      <c r="I178" s="196"/>
      <c r="J178" s="165">
        <v>0</v>
      </c>
      <c r="K178" s="196"/>
      <c r="L178" s="165">
        <v>0</v>
      </c>
    </row>
    <row r="179" spans="1:12" ht="15">
      <c r="A179" s="158">
        <v>49115</v>
      </c>
      <c r="B179" s="162">
        <v>0</v>
      </c>
      <c r="D179" s="165">
        <v>0</v>
      </c>
      <c r="E179" s="196"/>
      <c r="F179" s="165">
        <v>0</v>
      </c>
      <c r="G179" s="196"/>
      <c r="H179" s="165">
        <v>0</v>
      </c>
      <c r="I179" s="196"/>
      <c r="J179" s="165">
        <v>0</v>
      </c>
      <c r="K179" s="196"/>
      <c r="L179" s="165">
        <v>0</v>
      </c>
    </row>
    <row r="180" spans="1:12" ht="15">
      <c r="A180" s="158">
        <v>49145</v>
      </c>
      <c r="B180" s="162">
        <v>0</v>
      </c>
      <c r="D180" s="165">
        <v>0</v>
      </c>
      <c r="E180" s="196"/>
      <c r="F180" s="165">
        <v>0</v>
      </c>
      <c r="G180" s="196"/>
      <c r="H180" s="165">
        <v>0</v>
      </c>
      <c r="I180" s="196"/>
      <c r="J180" s="165">
        <v>0</v>
      </c>
      <c r="K180" s="196"/>
      <c r="L180" s="165">
        <v>0</v>
      </c>
    </row>
    <row r="181" spans="1:12" ht="15">
      <c r="A181" s="158">
        <v>49176</v>
      </c>
      <c r="B181" s="162">
        <v>0</v>
      </c>
      <c r="D181" s="165">
        <v>0</v>
      </c>
      <c r="E181" s="196"/>
      <c r="F181" s="165">
        <v>0</v>
      </c>
      <c r="G181" s="196"/>
      <c r="H181" s="165">
        <v>0</v>
      </c>
      <c r="I181" s="196"/>
      <c r="J181" s="165">
        <v>0</v>
      </c>
      <c r="K181" s="196"/>
      <c r="L181" s="165">
        <v>0</v>
      </c>
    </row>
    <row r="182" spans="1:12" ht="15.75" thickBot="1">
      <c r="A182" s="158">
        <v>49207</v>
      </c>
      <c r="B182" s="163">
        <v>0</v>
      </c>
      <c r="D182" s="166">
        <v>0</v>
      </c>
      <c r="E182" s="196"/>
      <c r="F182" s="166">
        <v>0</v>
      </c>
      <c r="G182" s="196"/>
      <c r="H182" s="166">
        <v>0</v>
      </c>
      <c r="I182" s="196"/>
      <c r="J182" s="166">
        <v>0</v>
      </c>
      <c r="K182" s="196"/>
      <c r="L182" s="166">
        <v>0</v>
      </c>
    </row>
    <row r="183" spans="1:13" s="75" customFormat="1" ht="15.75" customHeight="1" thickBot="1">
      <c r="A183" s="6"/>
      <c r="B183" s="160">
        <v>0.9999999999999999</v>
      </c>
      <c r="C183" s="6"/>
      <c r="D183" s="160">
        <f>SUM(D3:D182)</f>
        <v>0.9999999999999994</v>
      </c>
      <c r="E183" s="6"/>
      <c r="F183" s="160">
        <f>SUM(F3:F182)</f>
        <v>0.9999999999999994</v>
      </c>
      <c r="G183" s="6"/>
      <c r="H183" s="160">
        <f>SUM(H3:H182)</f>
        <v>0.9999999999999994</v>
      </c>
      <c r="I183" s="6"/>
      <c r="J183" s="160">
        <f>SUM(J3:J182)</f>
        <v>0.9999999999999994</v>
      </c>
      <c r="L183" s="160">
        <f>SUM(L3:L182)</f>
        <v>0.9999999999999994</v>
      </c>
      <c r="M183" s="6"/>
    </row>
    <row r="184" spans="2:12" ht="12.75">
      <c r="B184" s="75">
        <v>0</v>
      </c>
      <c r="D184" s="75">
        <f>1-D183</f>
        <v>0</v>
      </c>
      <c r="F184" s="75">
        <f>1-F183</f>
        <v>0</v>
      </c>
      <c r="H184" s="75">
        <f>1-H183</f>
        <v>0</v>
      </c>
      <c r="J184" s="75">
        <f>1-J183</f>
        <v>0</v>
      </c>
      <c r="K184" s="75"/>
      <c r="L184" s="75">
        <f>1-L183</f>
        <v>0</v>
      </c>
    </row>
    <row r="185" spans="2:12" ht="12.75">
      <c r="B185" s="75"/>
      <c r="D185" s="75"/>
      <c r="F185" s="75"/>
      <c r="H185" s="75"/>
      <c r="J185" s="75"/>
      <c r="K185" s="75"/>
      <c r="L185" s="75"/>
    </row>
  </sheetData>
  <sheetProtection password="C5F9" sheet="1"/>
  <mergeCells count="1">
    <mergeCell ref="A1:A2"/>
  </mergeCells>
  <conditionalFormatting sqref="D183">
    <cfRule type="cellIs" priority="28" dxfId="2" operator="notEqual" stopIfTrue="1">
      <formula>1</formula>
    </cfRule>
  </conditionalFormatting>
  <conditionalFormatting sqref="F183">
    <cfRule type="cellIs" priority="27" dxfId="2" operator="notEqual" stopIfTrue="1">
      <formula>1</formula>
    </cfRule>
  </conditionalFormatting>
  <conditionalFormatting sqref="H183">
    <cfRule type="cellIs" priority="26" dxfId="2" operator="notEqual" stopIfTrue="1">
      <formula>1</formula>
    </cfRule>
  </conditionalFormatting>
  <conditionalFormatting sqref="L183">
    <cfRule type="cellIs" priority="24" dxfId="2" operator="notEqual" stopIfTrue="1">
      <formula>1</formula>
    </cfRule>
  </conditionalFormatting>
  <conditionalFormatting sqref="J183">
    <cfRule type="cellIs" priority="22" dxfId="2" operator="notEqual" stopIfTrue="1">
      <formula>1</formula>
    </cfRule>
  </conditionalFormatting>
  <conditionalFormatting sqref="B183">
    <cfRule type="cellIs" priority="21" dxfId="2" operator="notEqual" stopIfTrue="1">
      <formula>1</formula>
    </cfRule>
  </conditionalFormatting>
  <conditionalFormatting sqref="D3:D182 F3:F182 H3:H182 J3:J182 L3:L182">
    <cfRule type="expression" priority="1" dxfId="0" stopIfTrue="1">
      <formula>ROUND(D3,12)&lt;&gt;0</formula>
    </cfRule>
  </conditionalFormatting>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Hoja6"/>
  <dimension ref="A1:H32"/>
  <sheetViews>
    <sheetView zoomScalePageLayoutView="0" workbookViewId="0" topLeftCell="A1">
      <selection activeCell="A19" sqref="A19:H32"/>
    </sheetView>
  </sheetViews>
  <sheetFormatPr defaultColWidth="11.421875" defaultRowHeight="12.75"/>
  <cols>
    <col min="1" max="16384" width="11.421875" style="31" customWidth="1"/>
  </cols>
  <sheetData>
    <row r="1" spans="1:8" ht="12.75">
      <c r="A1" s="211" t="s">
        <v>47</v>
      </c>
      <c r="B1" s="212"/>
      <c r="C1" s="212"/>
      <c r="D1" s="212"/>
      <c r="E1" s="212"/>
      <c r="F1" s="212"/>
      <c r="G1" s="212"/>
      <c r="H1" s="212"/>
    </row>
    <row r="2" spans="1:8" ht="12.75">
      <c r="A2" s="212"/>
      <c r="B2" s="212"/>
      <c r="C2" s="212"/>
      <c r="D2" s="212"/>
      <c r="E2" s="212"/>
      <c r="F2" s="212"/>
      <c r="G2" s="212"/>
      <c r="H2" s="212"/>
    </row>
    <row r="3" spans="1:8" ht="12.75">
      <c r="A3" s="212"/>
      <c r="B3" s="212"/>
      <c r="C3" s="212"/>
      <c r="D3" s="212"/>
      <c r="E3" s="212"/>
      <c r="F3" s="212"/>
      <c r="G3" s="212"/>
      <c r="H3" s="212"/>
    </row>
    <row r="4" spans="1:8" ht="12.75">
      <c r="A4" s="212"/>
      <c r="B4" s="212"/>
      <c r="C4" s="212"/>
      <c r="D4" s="212"/>
      <c r="E4" s="212"/>
      <c r="F4" s="212"/>
      <c r="G4" s="212"/>
      <c r="H4" s="212"/>
    </row>
    <row r="5" spans="1:8" ht="12.75">
      <c r="A5" s="212"/>
      <c r="B5" s="212"/>
      <c r="C5" s="212"/>
      <c r="D5" s="212"/>
      <c r="E5" s="212"/>
      <c r="F5" s="212"/>
      <c r="G5" s="212"/>
      <c r="H5" s="212"/>
    </row>
    <row r="6" spans="1:8" ht="12.75">
      <c r="A6" s="212"/>
      <c r="B6" s="212"/>
      <c r="C6" s="212"/>
      <c r="D6" s="212"/>
      <c r="E6" s="212"/>
      <c r="F6" s="212"/>
      <c r="G6" s="212"/>
      <c r="H6" s="212"/>
    </row>
    <row r="7" spans="1:8" ht="12.75">
      <c r="A7" s="212"/>
      <c r="B7" s="212"/>
      <c r="C7" s="212"/>
      <c r="D7" s="212"/>
      <c r="E7" s="212"/>
      <c r="F7" s="212"/>
      <c r="G7" s="212"/>
      <c r="H7" s="212"/>
    </row>
    <row r="8" spans="1:8" ht="12.75">
      <c r="A8" s="212"/>
      <c r="B8" s="212"/>
      <c r="C8" s="212"/>
      <c r="D8" s="212"/>
      <c r="E8" s="212"/>
      <c r="F8" s="212"/>
      <c r="G8" s="212"/>
      <c r="H8" s="212"/>
    </row>
    <row r="9" spans="1:8" ht="12.75">
      <c r="A9" s="212"/>
      <c r="B9" s="212"/>
      <c r="C9" s="212"/>
      <c r="D9" s="212"/>
      <c r="E9" s="212"/>
      <c r="F9" s="212"/>
      <c r="G9" s="212"/>
      <c r="H9" s="212"/>
    </row>
    <row r="10" spans="1:8" ht="12.75">
      <c r="A10" s="212"/>
      <c r="B10" s="212"/>
      <c r="C10" s="212"/>
      <c r="D10" s="212"/>
      <c r="E10" s="212"/>
      <c r="F10" s="212"/>
      <c r="G10" s="212"/>
      <c r="H10" s="212"/>
    </row>
    <row r="11" spans="1:8" ht="12.75">
      <c r="A11" s="212"/>
      <c r="B11" s="212"/>
      <c r="C11" s="212"/>
      <c r="D11" s="212"/>
      <c r="E11" s="212"/>
      <c r="F11" s="212"/>
      <c r="G11" s="212"/>
      <c r="H11" s="212"/>
    </row>
    <row r="12" spans="1:8" ht="12.75">
      <c r="A12" s="212"/>
      <c r="B12" s="212"/>
      <c r="C12" s="212"/>
      <c r="D12" s="212"/>
      <c r="E12" s="212"/>
      <c r="F12" s="212"/>
      <c r="G12" s="212"/>
      <c r="H12" s="212"/>
    </row>
    <row r="13" spans="1:8" ht="12.75">
      <c r="A13" s="212"/>
      <c r="B13" s="212"/>
      <c r="C13" s="212"/>
      <c r="D13" s="212"/>
      <c r="E13" s="212"/>
      <c r="F13" s="212"/>
      <c r="G13" s="212"/>
      <c r="H13" s="212"/>
    </row>
    <row r="14" spans="1:8" ht="12.75">
      <c r="A14" s="212"/>
      <c r="B14" s="212"/>
      <c r="C14" s="212"/>
      <c r="D14" s="212"/>
      <c r="E14" s="212"/>
      <c r="F14" s="212"/>
      <c r="G14" s="212"/>
      <c r="H14" s="212"/>
    </row>
    <row r="16" ht="12.75">
      <c r="A16" s="32" t="s">
        <v>48</v>
      </c>
    </row>
    <row r="19" spans="1:8" ht="12.75">
      <c r="A19" s="213" t="s">
        <v>49</v>
      </c>
      <c r="B19" s="212"/>
      <c r="C19" s="212"/>
      <c r="D19" s="212"/>
      <c r="E19" s="212"/>
      <c r="F19" s="212"/>
      <c r="G19" s="212"/>
      <c r="H19" s="212"/>
    </row>
    <row r="20" spans="1:8" ht="12.75">
      <c r="A20" s="212"/>
      <c r="B20" s="212"/>
      <c r="C20" s="212"/>
      <c r="D20" s="212"/>
      <c r="E20" s="212"/>
      <c r="F20" s="212"/>
      <c r="G20" s="212"/>
      <c r="H20" s="212"/>
    </row>
    <row r="21" spans="1:8" ht="12.75">
      <c r="A21" s="212"/>
      <c r="B21" s="212"/>
      <c r="C21" s="212"/>
      <c r="D21" s="212"/>
      <c r="E21" s="212"/>
      <c r="F21" s="212"/>
      <c r="G21" s="212"/>
      <c r="H21" s="212"/>
    </row>
    <row r="22" spans="1:8" ht="12.75">
      <c r="A22" s="212"/>
      <c r="B22" s="212"/>
      <c r="C22" s="212"/>
      <c r="D22" s="212"/>
      <c r="E22" s="212"/>
      <c r="F22" s="212"/>
      <c r="G22" s="212"/>
      <c r="H22" s="212"/>
    </row>
    <row r="23" spans="1:8" ht="12.75">
      <c r="A23" s="212"/>
      <c r="B23" s="212"/>
      <c r="C23" s="212"/>
      <c r="D23" s="212"/>
      <c r="E23" s="212"/>
      <c r="F23" s="212"/>
      <c r="G23" s="212"/>
      <c r="H23" s="212"/>
    </row>
    <row r="24" spans="1:8" ht="12.75">
      <c r="A24" s="212"/>
      <c r="B24" s="212"/>
      <c r="C24" s="212"/>
      <c r="D24" s="212"/>
      <c r="E24" s="212"/>
      <c r="F24" s="212"/>
      <c r="G24" s="212"/>
      <c r="H24" s="212"/>
    </row>
    <row r="25" spans="1:8" ht="12.75">
      <c r="A25" s="212"/>
      <c r="B25" s="212"/>
      <c r="C25" s="212"/>
      <c r="D25" s="212"/>
      <c r="E25" s="212"/>
      <c r="F25" s="212"/>
      <c r="G25" s="212"/>
      <c r="H25" s="212"/>
    </row>
    <row r="26" spans="1:8" ht="12.75">
      <c r="A26" s="212"/>
      <c r="B26" s="212"/>
      <c r="C26" s="212"/>
      <c r="D26" s="212"/>
      <c r="E26" s="212"/>
      <c r="F26" s="212"/>
      <c r="G26" s="212"/>
      <c r="H26" s="212"/>
    </row>
    <row r="27" spans="1:8" ht="12.75">
      <c r="A27" s="212"/>
      <c r="B27" s="212"/>
      <c r="C27" s="212"/>
      <c r="D27" s="212"/>
      <c r="E27" s="212"/>
      <c r="F27" s="212"/>
      <c r="G27" s="212"/>
      <c r="H27" s="212"/>
    </row>
    <row r="28" spans="1:8" ht="12.75">
      <c r="A28" s="212"/>
      <c r="B28" s="212"/>
      <c r="C28" s="212"/>
      <c r="D28" s="212"/>
      <c r="E28" s="212"/>
      <c r="F28" s="212"/>
      <c r="G28" s="212"/>
      <c r="H28" s="212"/>
    </row>
    <row r="29" spans="1:8" ht="12.75">
      <c r="A29" s="212"/>
      <c r="B29" s="212"/>
      <c r="C29" s="212"/>
      <c r="D29" s="212"/>
      <c r="E29" s="212"/>
      <c r="F29" s="212"/>
      <c r="G29" s="212"/>
      <c r="H29" s="212"/>
    </row>
    <row r="30" spans="1:8" ht="12.75">
      <c r="A30" s="212"/>
      <c r="B30" s="212"/>
      <c r="C30" s="212"/>
      <c r="D30" s="212"/>
      <c r="E30" s="212"/>
      <c r="F30" s="212"/>
      <c r="G30" s="212"/>
      <c r="H30" s="212"/>
    </row>
    <row r="31" spans="1:8" ht="12.75">
      <c r="A31" s="212"/>
      <c r="B31" s="212"/>
      <c r="C31" s="212"/>
      <c r="D31" s="212"/>
      <c r="E31" s="212"/>
      <c r="F31" s="212"/>
      <c r="G31" s="212"/>
      <c r="H31" s="212"/>
    </row>
    <row r="32" spans="1:8" ht="12.75">
      <c r="A32" s="212"/>
      <c r="B32" s="212"/>
      <c r="C32" s="212"/>
      <c r="D32" s="212"/>
      <c r="E32" s="212"/>
      <c r="F32" s="212"/>
      <c r="G32" s="212"/>
      <c r="H32" s="212"/>
    </row>
  </sheetData>
  <sheetProtection/>
  <mergeCells count="2">
    <mergeCell ref="A1:H14"/>
    <mergeCell ref="A19:H32"/>
  </mergeCells>
  <hyperlinks>
    <hyperlink ref="A16" location="'CALCULADORA TIPS Pesos E-12'!C2" display="Volver"/>
  </hyperlink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Hoja5"/>
  <dimension ref="A1:B181"/>
  <sheetViews>
    <sheetView zoomScale="75" zoomScaleNormal="75" zoomScalePageLayoutView="0" workbookViewId="0" topLeftCell="A1">
      <selection activeCell="B32" sqref="B32"/>
    </sheetView>
  </sheetViews>
  <sheetFormatPr defaultColWidth="11.421875" defaultRowHeight="12.75"/>
  <cols>
    <col min="1" max="1" width="18.140625" style="27" customWidth="1"/>
    <col min="2" max="2" width="24.00390625" style="27" bestFit="1" customWidth="1"/>
    <col min="3" max="16384" width="11.421875" style="27" customWidth="1"/>
  </cols>
  <sheetData>
    <row r="1" spans="1:2" ht="13.5" thickBot="1">
      <c r="A1" s="71" t="s">
        <v>0</v>
      </c>
      <c r="B1" s="6" t="str">
        <f>+Características!$B$1</f>
        <v>TIV V-1 2024</v>
      </c>
    </row>
    <row r="2" spans="1:2" ht="12.75">
      <c r="A2" s="28">
        <f>+'Tabla de Amortizacion'!A3</f>
        <v>43758</v>
      </c>
      <c r="B2" s="86">
        <f>IF('CALCULADORA TIV V-1'!$F$10="Contractual",ROUND('Tabla de Amortizacion'!B3,15),IF('CALCULADORA TIV V-1'!$F$10="6% (Medio)",ROUND('Tabla de Amortizacion'!D3,15),IF('CALCULADORA TIV V-1'!$F$10="10% (Medio Alto)",ROUND('Tabla de Amortizacion'!F3,15),IF('CALCULADORA TIV V-1'!$F$10="14% (Alto)",ROUND('Tabla de Amortizacion'!H3,15),IF('CALCULADORA TIV V-1'!$F$10="20%_",ROUND('Tabla de Amortizacion'!J3,15),ROUND('Tabla de Amortizacion'!L3,15))))))</f>
        <v>0.0225</v>
      </c>
    </row>
    <row r="3" spans="1:2" ht="12.75">
      <c r="A3" s="29">
        <f aca="true" t="shared" si="0" ref="A3:A34">_XLL.FECHA.MES(A2,1)</f>
        <v>43789</v>
      </c>
      <c r="B3" s="86">
        <f>IF('CALCULADORA TIV V-1'!$F$10="Contractual",ROUND('Tabla de Amortizacion'!B4,15),IF('CALCULADORA TIV V-1'!$F$10="6% (Medio)",ROUND('Tabla de Amortizacion'!D4,15),IF('CALCULADORA TIV V-1'!$F$10="10% (Medio Alto)",ROUND('Tabla de Amortizacion'!F4,15),IF('CALCULADORA TIV V-1'!$F$10="14% (Alto)",ROUND('Tabla de Amortizacion'!H4,15),IF('CALCULADORA TIV V-1'!$F$10="20%_",ROUND('Tabla de Amortizacion'!J4,15),ROUND('Tabla de Amortizacion'!L4,15))))))</f>
        <v>0.0225</v>
      </c>
    </row>
    <row r="4" spans="1:2" ht="12.75">
      <c r="A4" s="29">
        <f t="shared" si="0"/>
        <v>43819</v>
      </c>
      <c r="B4" s="86">
        <f>IF('CALCULADORA TIV V-1'!$F$10="Contractual",ROUND('Tabla de Amortizacion'!B5,15),IF('CALCULADORA TIV V-1'!$F$10="6% (Medio)",ROUND('Tabla de Amortizacion'!D5,15),IF('CALCULADORA TIV V-1'!$F$10="10% (Medio Alto)",ROUND('Tabla de Amortizacion'!F5,15),IF('CALCULADORA TIV V-1'!$F$10="14% (Alto)",ROUND('Tabla de Amortizacion'!H5,15),IF('CALCULADORA TIV V-1'!$F$10="20%_",ROUND('Tabla de Amortizacion'!J5,15),ROUND('Tabla de Amortizacion'!L5,15))))))</f>
        <v>0.0225</v>
      </c>
    </row>
    <row r="5" spans="1:2" ht="12.75">
      <c r="A5" s="29">
        <f t="shared" si="0"/>
        <v>43850</v>
      </c>
      <c r="B5" s="86">
        <f>IF('CALCULADORA TIV V-1'!$F$10="Contractual",ROUND('Tabla de Amortizacion'!B6,15),IF('CALCULADORA TIV V-1'!$F$10="6% (Medio)",ROUND('Tabla de Amortizacion'!D6,15),IF('CALCULADORA TIV V-1'!$F$10="10% (Medio Alto)",ROUND('Tabla de Amortizacion'!F6,15),IF('CALCULADORA TIV V-1'!$F$10="14% (Alto)",ROUND('Tabla de Amortizacion'!H6,15),IF('CALCULADORA TIV V-1'!$F$10="20%_",ROUND('Tabla de Amortizacion'!J6,15),ROUND('Tabla de Amortizacion'!L6,15))))))</f>
        <v>0.0225</v>
      </c>
    </row>
    <row r="6" spans="1:2" ht="12.75">
      <c r="A6" s="29">
        <f t="shared" si="0"/>
        <v>43881</v>
      </c>
      <c r="B6" s="86">
        <f>IF('CALCULADORA TIV V-1'!$F$10="Contractual",ROUND('Tabla de Amortizacion'!B7,15),IF('CALCULADORA TIV V-1'!$F$10="6% (Medio)",ROUND('Tabla de Amortizacion'!D7,15),IF('CALCULADORA TIV V-1'!$F$10="10% (Medio Alto)",ROUND('Tabla de Amortizacion'!F7,15),IF('CALCULADORA TIV V-1'!$F$10="14% (Alto)",ROUND('Tabla de Amortizacion'!H7,15),IF('CALCULADORA TIV V-1'!$F$10="20%_",ROUND('Tabla de Amortizacion'!J7,15),ROUND('Tabla de Amortizacion'!L7,15))))))</f>
        <v>0.0225</v>
      </c>
    </row>
    <row r="7" spans="1:2" ht="12.75">
      <c r="A7" s="29">
        <f t="shared" si="0"/>
        <v>43910</v>
      </c>
      <c r="B7" s="86">
        <f>IF('CALCULADORA TIV V-1'!$F$10="Contractual",ROUND('Tabla de Amortizacion'!B8,15),IF('CALCULADORA TIV V-1'!$F$10="6% (Medio)",ROUND('Tabla de Amortizacion'!D8,15),IF('CALCULADORA TIV V-1'!$F$10="10% (Medio Alto)",ROUND('Tabla de Amortizacion'!F8,15),IF('CALCULADORA TIV V-1'!$F$10="14% (Alto)",ROUND('Tabla de Amortizacion'!H8,15),IF('CALCULADORA TIV V-1'!$F$10="20%_",ROUND('Tabla de Amortizacion'!J8,15),ROUND('Tabla de Amortizacion'!L8,15))))))</f>
        <v>0.0225</v>
      </c>
    </row>
    <row r="8" spans="1:2" ht="12.75">
      <c r="A8" s="29">
        <f t="shared" si="0"/>
        <v>43941</v>
      </c>
      <c r="B8" s="86">
        <f>IF('CALCULADORA TIV V-1'!$F$10="Contractual",ROUND('Tabla de Amortizacion'!B9,15),IF('CALCULADORA TIV V-1'!$F$10="6% (Medio)",ROUND('Tabla de Amortizacion'!D9,15),IF('CALCULADORA TIV V-1'!$F$10="10% (Medio Alto)",ROUND('Tabla de Amortizacion'!F9,15),IF('CALCULADORA TIV V-1'!$F$10="14% (Alto)",ROUND('Tabla de Amortizacion'!H9,15),IF('CALCULADORA TIV V-1'!$F$10="20%_",ROUND('Tabla de Amortizacion'!J9,15),ROUND('Tabla de Amortizacion'!L9,15))))))</f>
        <v>0.02739424</v>
      </c>
    </row>
    <row r="9" spans="1:2" ht="12.75">
      <c r="A9" s="29">
        <f t="shared" si="0"/>
        <v>43971</v>
      </c>
      <c r="B9" s="86">
        <f>IF('CALCULADORA TIV V-1'!$F$10="Contractual",ROUND('Tabla de Amortizacion'!B10,15),IF('CALCULADORA TIV V-1'!$F$10="6% (Medio)",ROUND('Tabla de Amortizacion'!D10,15),IF('CALCULADORA TIV V-1'!$F$10="10% (Medio Alto)",ROUND('Tabla de Amortizacion'!F10,15),IF('CALCULADORA TIV V-1'!$F$10="14% (Alto)",ROUND('Tabla de Amortizacion'!H10,15),IF('CALCULADORA TIV V-1'!$F$10="20%_",ROUND('Tabla de Amortizacion'!J10,15),ROUND('Tabla de Amortizacion'!L10,15))))))</f>
        <v>0.02897453</v>
      </c>
    </row>
    <row r="10" spans="1:2" ht="12.75">
      <c r="A10" s="29">
        <f t="shared" si="0"/>
        <v>44002</v>
      </c>
      <c r="B10" s="86">
        <f>IF('CALCULADORA TIV V-1'!$F$10="Contractual",ROUND('Tabla de Amortizacion'!B11,15),IF('CALCULADORA TIV V-1'!$F$10="6% (Medio)",ROUND('Tabla de Amortizacion'!D11,15),IF('CALCULADORA TIV V-1'!$F$10="10% (Medio Alto)",ROUND('Tabla de Amortizacion'!F11,15),IF('CALCULADORA TIV V-1'!$F$10="14% (Alto)",ROUND('Tabla de Amortizacion'!H11,15),IF('CALCULADORA TIV V-1'!$F$10="20%_",ROUND('Tabla de Amortizacion'!J11,15),ROUND('Tabla de Amortizacion'!L11,15))))))</f>
        <v>0.04062193</v>
      </c>
    </row>
    <row r="11" spans="1:2" ht="12.75">
      <c r="A11" s="29">
        <f t="shared" si="0"/>
        <v>44032</v>
      </c>
      <c r="B11" s="86">
        <f>IF('CALCULADORA TIV V-1'!$F$10="Contractual",ROUND('Tabla de Amortizacion'!B12,15),IF('CALCULADORA TIV V-1'!$F$10="6% (Medio)",ROUND('Tabla de Amortizacion'!D12,15),IF('CALCULADORA TIV V-1'!$F$10="10% (Medio Alto)",ROUND('Tabla de Amortizacion'!F12,15),IF('CALCULADORA TIV V-1'!$F$10="14% (Alto)",ROUND('Tabla de Amortizacion'!H12,15),IF('CALCULADORA TIV V-1'!$F$10="20%_",ROUND('Tabla de Amortizacion'!J12,15),ROUND('Tabla de Amortizacion'!L12,15))))))</f>
        <v>0.04297112</v>
      </c>
    </row>
    <row r="12" spans="1:2" ht="12.75">
      <c r="A12" s="29">
        <f t="shared" si="0"/>
        <v>44063</v>
      </c>
      <c r="B12" s="86">
        <f>IF('CALCULADORA TIV V-1'!$F$10="Contractual",ROUND('Tabla de Amortizacion'!B13,15),IF('CALCULADORA TIV V-1'!$F$10="6% (Medio)",ROUND('Tabla de Amortizacion'!D13,15),IF('CALCULADORA TIV V-1'!$F$10="10% (Medio Alto)",ROUND('Tabla de Amortizacion'!F13,15),IF('CALCULADORA TIV V-1'!$F$10="14% (Alto)",ROUND('Tabla de Amortizacion'!H13,15),IF('CALCULADORA TIV V-1'!$F$10="20%_",ROUND('Tabla de Amortizacion'!J13,15),ROUND('Tabla de Amortizacion'!L13,15))))))</f>
        <v>0.05026259</v>
      </c>
    </row>
    <row r="13" spans="1:2" ht="12.75">
      <c r="A13" s="29">
        <f t="shared" si="0"/>
        <v>44094</v>
      </c>
      <c r="B13" s="86">
        <f>IF('CALCULADORA TIV V-1'!$F$10="Contractual",ROUND('Tabla de Amortizacion'!B14,15),IF('CALCULADORA TIV V-1'!$F$10="6% (Medio)",ROUND('Tabla de Amortizacion'!D14,15),IF('CALCULADORA TIV V-1'!$F$10="10% (Medio Alto)",ROUND('Tabla de Amortizacion'!F14,15),IF('CALCULADORA TIV V-1'!$F$10="14% (Alto)",ROUND('Tabla de Amortizacion'!H14,15),IF('CALCULADORA TIV V-1'!$F$10="20%_",ROUND('Tabla de Amortizacion'!J14,15),ROUND('Tabla de Amortizacion'!L14,15))))))</f>
        <v>0.0459419</v>
      </c>
    </row>
    <row r="14" spans="1:2" ht="12.75">
      <c r="A14" s="29">
        <f t="shared" si="0"/>
        <v>44124</v>
      </c>
      <c r="B14" s="86">
        <f>IF('CALCULADORA TIV V-1'!$F$10="Contractual",ROUND('Tabla de Amortizacion'!B15,15),IF('CALCULADORA TIV V-1'!$F$10="6% (Medio)",ROUND('Tabla de Amortizacion'!D15,15),IF('CALCULADORA TIV V-1'!$F$10="10% (Medio Alto)",ROUND('Tabla de Amortizacion'!F15,15),IF('CALCULADORA TIV V-1'!$F$10="14% (Alto)",ROUND('Tabla de Amortizacion'!H15,15),IF('CALCULADORA TIV V-1'!$F$10="20%_",ROUND('Tabla de Amortizacion'!J15,15),ROUND('Tabla de Amortizacion'!L15,15))))))</f>
        <v>0.04913667</v>
      </c>
    </row>
    <row r="15" spans="1:2" ht="12.75">
      <c r="A15" s="29">
        <f t="shared" si="0"/>
        <v>44155</v>
      </c>
      <c r="B15" s="86">
        <f>IF('CALCULADORA TIV V-1'!$F$10="Contractual",ROUND('Tabla de Amortizacion'!B16,15),IF('CALCULADORA TIV V-1'!$F$10="6% (Medio)",ROUND('Tabla de Amortizacion'!D16,15),IF('CALCULADORA TIV V-1'!$F$10="10% (Medio Alto)",ROUND('Tabla de Amortizacion'!F16,15),IF('CALCULADORA TIV V-1'!$F$10="14% (Alto)",ROUND('Tabla de Amortizacion'!H16,15),IF('CALCULADORA TIV V-1'!$F$10="20%_",ROUND('Tabla de Amortizacion'!J16,15),ROUND('Tabla de Amortizacion'!L16,15))))))</f>
        <v>0.0562933</v>
      </c>
    </row>
    <row r="16" spans="1:2" ht="12.75">
      <c r="A16" s="29">
        <f t="shared" si="0"/>
        <v>44185</v>
      </c>
      <c r="B16" s="86">
        <f>IF('CALCULADORA TIV V-1'!$F$10="Contractual",ROUND('Tabla de Amortizacion'!B17,15),IF('CALCULADORA TIV V-1'!$F$10="6% (Medio)",ROUND('Tabla de Amortizacion'!D17,15),IF('CALCULADORA TIV V-1'!$F$10="10% (Medio Alto)",ROUND('Tabla de Amortizacion'!F17,15),IF('CALCULADORA TIV V-1'!$F$10="14% (Alto)",ROUND('Tabla de Amortizacion'!H17,15),IF('CALCULADORA TIV V-1'!$F$10="20%_",ROUND('Tabla de Amortizacion'!J17,15),ROUND('Tabla de Amortizacion'!L17,15))))))</f>
        <v>0</v>
      </c>
    </row>
    <row r="17" spans="1:2" ht="12.75">
      <c r="A17" s="29">
        <f t="shared" si="0"/>
        <v>44216</v>
      </c>
      <c r="B17" s="86">
        <f>IF('CALCULADORA TIV V-1'!$F$10="Contractual",ROUND('Tabla de Amortizacion'!B18,15),IF('CALCULADORA TIV V-1'!$F$10="6% (Medio)",ROUND('Tabla de Amortizacion'!D18,15),IF('CALCULADORA TIV V-1'!$F$10="10% (Medio Alto)",ROUND('Tabla de Amortizacion'!F18,15),IF('CALCULADORA TIV V-1'!$F$10="14% (Alto)",ROUND('Tabla de Amortizacion'!H18,15),IF('CALCULADORA TIV V-1'!$F$10="20%_",ROUND('Tabla de Amortizacion'!J18,15),ROUND('Tabla de Amortizacion'!L18,15))))))</f>
        <v>0</v>
      </c>
    </row>
    <row r="18" spans="1:2" ht="12.75">
      <c r="A18" s="29">
        <f t="shared" si="0"/>
        <v>44247</v>
      </c>
      <c r="B18" s="86">
        <f>IF('CALCULADORA TIV V-1'!$F$10="Contractual",ROUND('Tabla de Amortizacion'!B19,15),IF('CALCULADORA TIV V-1'!$F$10="6% (Medio)",ROUND('Tabla de Amortizacion'!D19,15),IF('CALCULADORA TIV V-1'!$F$10="10% (Medio Alto)",ROUND('Tabla de Amortizacion'!F19,15),IF('CALCULADORA TIV V-1'!$F$10="14% (Alto)",ROUND('Tabla de Amortizacion'!H19,15),IF('CALCULADORA TIV V-1'!$F$10="20%_",ROUND('Tabla de Amortizacion'!J19,15),ROUND('Tabla de Amortizacion'!L19,15))))))</f>
        <v>0</v>
      </c>
    </row>
    <row r="19" spans="1:2" ht="12.75">
      <c r="A19" s="29">
        <f t="shared" si="0"/>
        <v>44275</v>
      </c>
      <c r="B19" s="86">
        <f>IF('CALCULADORA TIV V-1'!$F$10="Contractual",ROUND('Tabla de Amortizacion'!B20,15),IF('CALCULADORA TIV V-1'!$F$10="6% (Medio)",ROUND('Tabla de Amortizacion'!D20,15),IF('CALCULADORA TIV V-1'!$F$10="10% (Medio Alto)",ROUND('Tabla de Amortizacion'!F20,15),IF('CALCULADORA TIV V-1'!$F$10="14% (Alto)",ROUND('Tabla de Amortizacion'!H20,15),IF('CALCULADORA TIV V-1'!$F$10="20%_",ROUND('Tabla de Amortizacion'!J20,15),ROUND('Tabla de Amortizacion'!L20,15))))))</f>
        <v>0.04640189</v>
      </c>
    </row>
    <row r="20" spans="1:2" ht="12.75">
      <c r="A20" s="29">
        <f t="shared" si="0"/>
        <v>44306</v>
      </c>
      <c r="B20" s="86">
        <f>IF('CALCULADORA TIV V-1'!$F$10="Contractual",ROUND('Tabla de Amortizacion'!B21,15),IF('CALCULADORA TIV V-1'!$F$10="6% (Medio)",ROUND('Tabla de Amortizacion'!D21,15),IF('CALCULADORA TIV V-1'!$F$10="10% (Medio Alto)",ROUND('Tabla de Amortizacion'!F21,15),IF('CALCULADORA TIV V-1'!$F$10="14% (Alto)",ROUND('Tabla de Amortizacion'!H21,15),IF('CALCULADORA TIV V-1'!$F$10="20%_",ROUND('Tabla de Amortizacion'!J21,15),ROUND('Tabla de Amortizacion'!L21,15))))))</f>
        <v>0</v>
      </c>
    </row>
    <row r="21" spans="1:2" ht="12.75">
      <c r="A21" s="29">
        <f t="shared" si="0"/>
        <v>44336</v>
      </c>
      <c r="B21" s="86">
        <f>IF('CALCULADORA TIV V-1'!$F$10="Contractual",ROUND('Tabla de Amortizacion'!B22,15),IF('CALCULADORA TIV V-1'!$F$10="6% (Medio)",ROUND('Tabla de Amortizacion'!D22,15),IF('CALCULADORA TIV V-1'!$F$10="10% (Medio Alto)",ROUND('Tabla de Amortizacion'!F22,15),IF('CALCULADORA TIV V-1'!$F$10="14% (Alto)",ROUND('Tabla de Amortizacion'!H22,15),IF('CALCULADORA TIV V-1'!$F$10="20%_",ROUND('Tabla de Amortizacion'!J22,15),ROUND('Tabla de Amortizacion'!L22,15))))))</f>
        <v>0</v>
      </c>
    </row>
    <row r="22" spans="1:2" ht="12.75">
      <c r="A22" s="29">
        <f t="shared" si="0"/>
        <v>44367</v>
      </c>
      <c r="B22" s="86">
        <f>IF('CALCULADORA TIV V-1'!$F$10="Contractual",ROUND('Tabla de Amortizacion'!B23,15),IF('CALCULADORA TIV V-1'!$F$10="6% (Medio)",ROUND('Tabla de Amortizacion'!D23,15),IF('CALCULADORA TIV V-1'!$F$10="10% (Medio Alto)",ROUND('Tabla de Amortizacion'!F23,15),IF('CALCULADORA TIV V-1'!$F$10="14% (Alto)",ROUND('Tabla de Amortizacion'!H23,15),IF('CALCULADORA TIV V-1'!$F$10="20%_",ROUND('Tabla de Amortizacion'!J23,15),ROUND('Tabla de Amortizacion'!L23,15))))))</f>
        <v>0</v>
      </c>
    </row>
    <row r="23" spans="1:2" ht="12.75">
      <c r="A23" s="29">
        <f t="shared" si="0"/>
        <v>44397</v>
      </c>
      <c r="B23" s="86">
        <f>IF('CALCULADORA TIV V-1'!$F$10="Contractual",ROUND('Tabla de Amortizacion'!B24,15),IF('CALCULADORA TIV V-1'!$F$10="6% (Medio)",ROUND('Tabla de Amortizacion'!D24,15),IF('CALCULADORA TIV V-1'!$F$10="10% (Medio Alto)",ROUND('Tabla de Amortizacion'!F24,15),IF('CALCULADORA TIV V-1'!$F$10="14% (Alto)",ROUND('Tabla de Amortizacion'!H24,15),IF('CALCULADORA TIV V-1'!$F$10="20%_",ROUND('Tabla de Amortizacion'!J24,15),ROUND('Tabla de Amortizacion'!L24,15))))))</f>
        <v>0</v>
      </c>
    </row>
    <row r="24" spans="1:2" ht="12.75">
      <c r="A24" s="29">
        <f t="shared" si="0"/>
        <v>44428</v>
      </c>
      <c r="B24" s="86">
        <f>IF('CALCULADORA TIV V-1'!$F$10="Contractual",ROUND('Tabla de Amortizacion'!B25,15),IF('CALCULADORA TIV V-1'!$F$10="6% (Medio)",ROUND('Tabla de Amortizacion'!D25,15),IF('CALCULADORA TIV V-1'!$F$10="10% (Medio Alto)",ROUND('Tabla de Amortizacion'!F25,15),IF('CALCULADORA TIV V-1'!$F$10="14% (Alto)",ROUND('Tabla de Amortizacion'!H25,15),IF('CALCULADORA TIV V-1'!$F$10="20%_",ROUND('Tabla de Amortizacion'!J25,15),ROUND('Tabla de Amortizacion'!L25,15))))))</f>
        <v>0</v>
      </c>
    </row>
    <row r="25" spans="1:2" ht="12.75">
      <c r="A25" s="29">
        <f t="shared" si="0"/>
        <v>44459</v>
      </c>
      <c r="B25" s="86">
        <f>IF('CALCULADORA TIV V-1'!$F$10="Contractual",ROUND('Tabla de Amortizacion'!B26,15),IF('CALCULADORA TIV V-1'!$F$10="6% (Medio)",ROUND('Tabla de Amortizacion'!D26,15),IF('CALCULADORA TIV V-1'!$F$10="10% (Medio Alto)",ROUND('Tabla de Amortizacion'!F26,15),IF('CALCULADORA TIV V-1'!$F$10="14% (Alto)",ROUND('Tabla de Amortizacion'!H26,15),IF('CALCULADORA TIV V-1'!$F$10="20%_",ROUND('Tabla de Amortizacion'!J26,15),ROUND('Tabla de Amortizacion'!L26,15))))))</f>
        <v>0.01700183</v>
      </c>
    </row>
    <row r="26" spans="1:2" ht="12.75">
      <c r="A26" s="29">
        <f t="shared" si="0"/>
        <v>44489</v>
      </c>
      <c r="B26" s="86">
        <f>IF('CALCULADORA TIV V-1'!$F$10="Contractual",ROUND('Tabla de Amortizacion'!B27,15),IF('CALCULADORA TIV V-1'!$F$10="6% (Medio)",ROUND('Tabla de Amortizacion'!D27,15),IF('CALCULADORA TIV V-1'!$F$10="10% (Medio Alto)",ROUND('Tabla de Amortizacion'!F27,15),IF('CALCULADORA TIV V-1'!$F$10="14% (Alto)",ROUND('Tabla de Amortizacion'!H27,15),IF('CALCULADORA TIV V-1'!$F$10="20%_",ROUND('Tabla de Amortizacion'!J27,15),ROUND('Tabla de Amortizacion'!L27,15))))))</f>
        <v>0.0225</v>
      </c>
    </row>
    <row r="27" spans="1:2" ht="12.75">
      <c r="A27" s="29">
        <f t="shared" si="0"/>
        <v>44520</v>
      </c>
      <c r="B27" s="86">
        <f>IF('CALCULADORA TIV V-1'!$F$10="Contractual",ROUND('Tabla de Amortizacion'!B28,15),IF('CALCULADORA TIV V-1'!$F$10="6% (Medio)",ROUND('Tabla de Amortizacion'!D28,15),IF('CALCULADORA TIV V-1'!$F$10="10% (Medio Alto)",ROUND('Tabla de Amortizacion'!F28,15),IF('CALCULADORA TIV V-1'!$F$10="14% (Alto)",ROUND('Tabla de Amortizacion'!H28,15),IF('CALCULADORA TIV V-1'!$F$10="20%_",ROUND('Tabla de Amortizacion'!J28,15),ROUND('Tabla de Amortizacion'!L28,15))))))</f>
        <v>0.0225</v>
      </c>
    </row>
    <row r="28" spans="1:2" ht="12.75">
      <c r="A28" s="29">
        <f t="shared" si="0"/>
        <v>44550</v>
      </c>
      <c r="B28" s="86">
        <f>IF('CALCULADORA TIV V-1'!$F$10="Contractual",ROUND('Tabla de Amortizacion'!B29,15),IF('CALCULADORA TIV V-1'!$F$10="6% (Medio)",ROUND('Tabla de Amortizacion'!D29,15),IF('CALCULADORA TIV V-1'!$F$10="10% (Medio Alto)",ROUND('Tabla de Amortizacion'!F29,15),IF('CALCULADORA TIV V-1'!$F$10="14% (Alto)",ROUND('Tabla de Amortizacion'!H29,15),IF('CALCULADORA TIV V-1'!$F$10="20%_",ROUND('Tabla de Amortizacion'!J29,15),ROUND('Tabla de Amortizacion'!L29,15))))))</f>
        <v>0.0225</v>
      </c>
    </row>
    <row r="29" spans="1:2" ht="12.75">
      <c r="A29" s="29">
        <f t="shared" si="0"/>
        <v>44581</v>
      </c>
      <c r="B29" s="86">
        <f>IF('CALCULADORA TIV V-1'!$F$10="Contractual",ROUND('Tabla de Amortizacion'!B30,15),IF('CALCULADORA TIV V-1'!$F$10="6% (Medio)",ROUND('Tabla de Amortizacion'!D30,15),IF('CALCULADORA TIV V-1'!$F$10="10% (Medio Alto)",ROUND('Tabla de Amortizacion'!F30,15),IF('CALCULADORA TIV V-1'!$F$10="14% (Alto)",ROUND('Tabla de Amortizacion'!H30,15),IF('CALCULADORA TIV V-1'!$F$10="20%_",ROUND('Tabla de Amortizacion'!J30,15),ROUND('Tabla de Amortizacion'!L30,15))))))</f>
        <v>0.0225</v>
      </c>
    </row>
    <row r="30" spans="1:2" ht="12.75">
      <c r="A30" s="29">
        <f t="shared" si="0"/>
        <v>44612</v>
      </c>
      <c r="B30" s="86">
        <f>IF('CALCULADORA TIV V-1'!$F$10="Contractual",ROUND('Tabla de Amortizacion'!B31,15),IF('CALCULADORA TIV V-1'!$F$10="6% (Medio)",ROUND('Tabla de Amortizacion'!D31,15),IF('CALCULADORA TIV V-1'!$F$10="10% (Medio Alto)",ROUND('Tabla de Amortizacion'!F31,15),IF('CALCULADORA TIV V-1'!$F$10="14% (Alto)",ROUND('Tabla de Amortizacion'!H31,15),IF('CALCULADORA TIV V-1'!$F$10="20%_",ROUND('Tabla de Amortizacion'!J31,15),ROUND('Tabla de Amortizacion'!L31,15))))))</f>
        <v>0.0225</v>
      </c>
    </row>
    <row r="31" spans="1:2" ht="12.75">
      <c r="A31" s="29">
        <f t="shared" si="0"/>
        <v>44640</v>
      </c>
      <c r="B31" s="86">
        <f>IF('CALCULADORA TIV V-1'!$F$10="Contractual",ROUND('Tabla de Amortizacion'!B32,15),IF('CALCULADORA TIV V-1'!$F$10="6% (Medio)",ROUND('Tabla de Amortizacion'!D32,15),IF('CALCULADORA TIV V-1'!$F$10="10% (Medio Alto)",ROUND('Tabla de Amortizacion'!F32,15),IF('CALCULADORA TIV V-1'!$F$10="14% (Alto)",ROUND('Tabla de Amortizacion'!H32,15),IF('CALCULADORA TIV V-1'!$F$10="20%_",ROUND('Tabla de Amortizacion'!J32,15),ROUND('Tabla de Amortizacion'!L32,15))))))</f>
        <v>0.0225</v>
      </c>
    </row>
    <row r="32" spans="1:2" ht="12.75">
      <c r="A32" s="29">
        <f t="shared" si="0"/>
        <v>44671</v>
      </c>
      <c r="B32" s="86">
        <f>IF('CALCULADORA TIV V-1'!$F$10="Contractual",ROUND('Tabla de Amortizacion'!B33,15),IF('CALCULADORA TIV V-1'!$F$10="6% (Medio)",ROUND('Tabla de Amortizacion'!D33,15),IF('CALCULADORA TIV V-1'!$F$10="10% (Medio Alto)",ROUND('Tabla de Amortizacion'!F33,15),IF('CALCULADORA TIV V-1'!$F$10="14% (Alto)",ROUND('Tabla de Amortizacion'!H33,15),IF('CALCULADORA TIV V-1'!$F$10="20%_",ROUND('Tabla de Amortizacion'!J33,15),ROUND('Tabla de Amortizacion'!L33,15))))))</f>
        <v>0.0225</v>
      </c>
    </row>
    <row r="33" spans="1:2" ht="12.75">
      <c r="A33" s="29">
        <f t="shared" si="0"/>
        <v>44701</v>
      </c>
      <c r="B33" s="86">
        <f>IF('CALCULADORA TIV V-1'!$F$10="Contractual",ROUND('Tabla de Amortizacion'!B34,15),IF('CALCULADORA TIV V-1'!$F$10="6% (Medio)",ROUND('Tabla de Amortizacion'!D34,15),IF('CALCULADORA TIV V-1'!$F$10="10% (Medio Alto)",ROUND('Tabla de Amortizacion'!F34,15),IF('CALCULADORA TIV V-1'!$F$10="14% (Alto)",ROUND('Tabla de Amortizacion'!H34,15),IF('CALCULADORA TIV V-1'!$F$10="20%_",ROUND('Tabla de Amortizacion'!J34,15),ROUND('Tabla de Amortizacion'!L34,15))))))</f>
        <v>0.0225</v>
      </c>
    </row>
    <row r="34" spans="1:2" ht="12.75">
      <c r="A34" s="29">
        <f t="shared" si="0"/>
        <v>44732</v>
      </c>
      <c r="B34" s="86">
        <f>IF('CALCULADORA TIV V-1'!$F$10="Contractual",ROUND('Tabla de Amortizacion'!B35,15),IF('CALCULADORA TIV V-1'!$F$10="6% (Medio)",ROUND('Tabla de Amortizacion'!D35,15),IF('CALCULADORA TIV V-1'!$F$10="10% (Medio Alto)",ROUND('Tabla de Amortizacion'!F35,15),IF('CALCULADORA TIV V-1'!$F$10="14% (Alto)",ROUND('Tabla de Amortizacion'!H35,15),IF('CALCULADORA TIV V-1'!$F$10="20%_",ROUND('Tabla de Amortizacion'!J35,15),ROUND('Tabla de Amortizacion'!L35,15))))))</f>
        <v>0.0225</v>
      </c>
    </row>
    <row r="35" spans="1:2" ht="12.75">
      <c r="A35" s="29">
        <f aca="true" t="shared" si="1" ref="A35:A66">_XLL.FECHA.MES(A34,1)</f>
        <v>44762</v>
      </c>
      <c r="B35" s="86">
        <f>IF('CALCULADORA TIV V-1'!$F$10="Contractual",ROUND('Tabla de Amortizacion'!B36,15),IF('CALCULADORA TIV V-1'!$F$10="6% (Medio)",ROUND('Tabla de Amortizacion'!D36,15),IF('CALCULADORA TIV V-1'!$F$10="10% (Medio Alto)",ROUND('Tabla de Amortizacion'!F36,15),IF('CALCULADORA TIV V-1'!$F$10="14% (Alto)",ROUND('Tabla de Amortizacion'!H36,15),IF('CALCULADORA TIV V-1'!$F$10="20%_",ROUND('Tabla de Amortizacion'!J36,15),ROUND('Tabla de Amortizacion'!L36,15))))))</f>
        <v>0.0225</v>
      </c>
    </row>
    <row r="36" spans="1:2" ht="12.75">
      <c r="A36" s="29">
        <f t="shared" si="1"/>
        <v>44793</v>
      </c>
      <c r="B36" s="86">
        <f>IF('CALCULADORA TIV V-1'!$F$10="Contractual",ROUND('Tabla de Amortizacion'!B37,15),IF('CALCULADORA TIV V-1'!$F$10="6% (Medio)",ROUND('Tabla de Amortizacion'!D37,15),IF('CALCULADORA TIV V-1'!$F$10="10% (Medio Alto)",ROUND('Tabla de Amortizacion'!F37,15),IF('CALCULADORA TIV V-1'!$F$10="14% (Alto)",ROUND('Tabla de Amortizacion'!H37,15),IF('CALCULADORA TIV V-1'!$F$10="20%_",ROUND('Tabla de Amortizacion'!J37,15),ROUND('Tabla de Amortizacion'!L37,15))))))</f>
        <v>0.0225</v>
      </c>
    </row>
    <row r="37" spans="1:2" ht="12.75">
      <c r="A37" s="29">
        <f t="shared" si="1"/>
        <v>44824</v>
      </c>
      <c r="B37" s="86">
        <f>IF('CALCULADORA TIV V-1'!$F$10="Contractual",ROUND('Tabla de Amortizacion'!B38,15),IF('CALCULADORA TIV V-1'!$F$10="6% (Medio)",ROUND('Tabla de Amortizacion'!D38,15),IF('CALCULADORA TIV V-1'!$F$10="10% (Medio Alto)",ROUND('Tabla de Amortizacion'!F38,15),IF('CALCULADORA TIV V-1'!$F$10="14% (Alto)",ROUND('Tabla de Amortizacion'!H38,15),IF('CALCULADORA TIV V-1'!$F$10="20%_",ROUND('Tabla de Amortizacion'!J38,15),ROUND('Tabla de Amortizacion'!L38,15))))))</f>
        <v>0.0225</v>
      </c>
    </row>
    <row r="38" spans="1:2" ht="12.75">
      <c r="A38" s="29">
        <f t="shared" si="1"/>
        <v>44854</v>
      </c>
      <c r="B38" s="86">
        <f>IF('CALCULADORA TIV V-1'!$F$10="Contractual",ROUND('Tabla de Amortizacion'!B39,15),IF('CALCULADORA TIV V-1'!$F$10="6% (Medio)",ROUND('Tabla de Amortizacion'!D39,15),IF('CALCULADORA TIV V-1'!$F$10="10% (Medio Alto)",ROUND('Tabla de Amortizacion'!F39,15),IF('CALCULADORA TIV V-1'!$F$10="14% (Alto)",ROUND('Tabla de Amortizacion'!H39,15),IF('CALCULADORA TIV V-1'!$F$10="20%_",ROUND('Tabla de Amortizacion'!J39,15),ROUND('Tabla de Amortizacion'!L39,15))))))</f>
        <v>0.04688946</v>
      </c>
    </row>
    <row r="39" spans="1:2" ht="12.75">
      <c r="A39" s="29">
        <f t="shared" si="1"/>
        <v>44885</v>
      </c>
      <c r="B39" s="86">
        <f>IF('CALCULADORA TIV V-1'!$F$10="Contractual",ROUND('Tabla de Amortizacion'!B40,15),IF('CALCULADORA TIV V-1'!$F$10="6% (Medio)",ROUND('Tabla de Amortizacion'!D40,15),IF('CALCULADORA TIV V-1'!$F$10="10% (Medio Alto)",ROUND('Tabla de Amortizacion'!F40,15),IF('CALCULADORA TIV V-1'!$F$10="14% (Alto)",ROUND('Tabla de Amortizacion'!H40,15),IF('CALCULADORA TIV V-1'!$F$10="20%_",ROUND('Tabla de Amortizacion'!J40,15),ROUND('Tabla de Amortizacion'!L40,15))))))</f>
        <v>0.03935402</v>
      </c>
    </row>
    <row r="40" spans="1:2" ht="12.75">
      <c r="A40" s="29">
        <f t="shared" si="1"/>
        <v>44915</v>
      </c>
      <c r="B40" s="86">
        <f>IF('CALCULADORA TIV V-1'!$F$10="Contractual",ROUND('Tabla de Amortizacion'!B41,15),IF('CALCULADORA TIV V-1'!$F$10="6% (Medio)",ROUND('Tabla de Amortizacion'!D41,15),IF('CALCULADORA TIV V-1'!$F$10="10% (Medio Alto)",ROUND('Tabla de Amortizacion'!F41,15),IF('CALCULADORA TIV V-1'!$F$10="14% (Alto)",ROUND('Tabla de Amortizacion'!H41,15),IF('CALCULADORA TIV V-1'!$F$10="20%_",ROUND('Tabla de Amortizacion'!J41,15),ROUND('Tabla de Amortizacion'!L41,15))))))</f>
        <v>0.03779468</v>
      </c>
    </row>
    <row r="41" spans="1:2" ht="12.75">
      <c r="A41" s="29">
        <f t="shared" si="1"/>
        <v>44946</v>
      </c>
      <c r="B41" s="86">
        <f>IF('CALCULADORA TIV V-1'!$F$10="Contractual",ROUND('Tabla de Amortizacion'!B42,15),IF('CALCULADORA TIV V-1'!$F$10="6% (Medio)",ROUND('Tabla de Amortizacion'!D42,15),IF('CALCULADORA TIV V-1'!$F$10="10% (Medio Alto)",ROUND('Tabla de Amortizacion'!F42,15),IF('CALCULADORA TIV V-1'!$F$10="14% (Alto)",ROUND('Tabla de Amortizacion'!H42,15),IF('CALCULADORA TIV V-1'!$F$10="20%_",ROUND('Tabla de Amortizacion'!J42,15),ROUND('Tabla de Amortizacion'!L42,15))))))</f>
        <v>0.03645539</v>
      </c>
    </row>
    <row r="42" spans="1:2" ht="12.75">
      <c r="A42" s="29">
        <f t="shared" si="1"/>
        <v>44977</v>
      </c>
      <c r="B42" s="86">
        <f>IF('CALCULADORA TIV V-1'!$F$10="Contractual",ROUND('Tabla de Amortizacion'!B43,15),IF('CALCULADORA TIV V-1'!$F$10="6% (Medio)",ROUND('Tabla de Amortizacion'!D43,15),IF('CALCULADORA TIV V-1'!$F$10="10% (Medio Alto)",ROUND('Tabla de Amortizacion'!F43,15),IF('CALCULADORA TIV V-1'!$F$10="14% (Alto)",ROUND('Tabla de Amortizacion'!H43,15),IF('CALCULADORA TIV V-1'!$F$10="20%_",ROUND('Tabla de Amortizacion'!J43,15),ROUND('Tabla de Amortizacion'!L43,15))))))</f>
        <v>0.02950645</v>
      </c>
    </row>
    <row r="43" spans="1:2" ht="12.75">
      <c r="A43" s="29">
        <f t="shared" si="1"/>
        <v>45005</v>
      </c>
      <c r="B43" s="86">
        <f>IF('CALCULADORA TIV V-1'!$F$10="Contractual",ROUND('Tabla de Amortizacion'!B44,15),IF('CALCULADORA TIV V-1'!$F$10="6% (Medio)",ROUND('Tabla de Amortizacion'!D44,15),IF('CALCULADORA TIV V-1'!$F$10="10% (Medio Alto)",ROUND('Tabla de Amortizacion'!F44,15),IF('CALCULADORA TIV V-1'!$F$10="14% (Alto)",ROUND('Tabla de Amortizacion'!H44,15),IF('CALCULADORA TIV V-1'!$F$10="20%_",ROUND('Tabla de Amortizacion'!J44,15),ROUND('Tabla de Amortizacion'!L44,15))))))</f>
        <v>0</v>
      </c>
    </row>
    <row r="44" spans="1:2" ht="12.75">
      <c r="A44" s="29">
        <f t="shared" si="1"/>
        <v>45036</v>
      </c>
      <c r="B44" s="86">
        <f>IF('CALCULADORA TIV V-1'!$F$10="Contractual",ROUND('Tabla de Amortizacion'!B45,15),IF('CALCULADORA TIV V-1'!$F$10="6% (Medio)",ROUND('Tabla de Amortizacion'!D45,15),IF('CALCULADORA TIV V-1'!$F$10="10% (Medio Alto)",ROUND('Tabla de Amortizacion'!F45,15),IF('CALCULADORA TIV V-1'!$F$10="14% (Alto)",ROUND('Tabla de Amortizacion'!H45,15),IF('CALCULADORA TIV V-1'!$F$10="20%_",ROUND('Tabla de Amortizacion'!J45,15),ROUND('Tabla de Amortizacion'!L45,15))))))</f>
        <v>0</v>
      </c>
    </row>
    <row r="45" spans="1:2" ht="12.75">
      <c r="A45" s="29">
        <f t="shared" si="1"/>
        <v>45066</v>
      </c>
      <c r="B45" s="86">
        <f>IF('CALCULADORA TIV V-1'!$F$10="Contractual",ROUND('Tabla de Amortizacion'!B46,15),IF('CALCULADORA TIV V-1'!$F$10="6% (Medio)",ROUND('Tabla de Amortizacion'!D46,15),IF('CALCULADORA TIV V-1'!$F$10="10% (Medio Alto)",ROUND('Tabla de Amortizacion'!F46,15),IF('CALCULADORA TIV V-1'!$F$10="14% (Alto)",ROUND('Tabla de Amortizacion'!H46,15),IF('CALCULADORA TIV V-1'!$F$10="20%_",ROUND('Tabla de Amortizacion'!J46,15),ROUND('Tabla de Amortizacion'!L46,15))))))</f>
        <v>0</v>
      </c>
    </row>
    <row r="46" spans="1:2" ht="12.75">
      <c r="A46" s="29">
        <f t="shared" si="1"/>
        <v>45097</v>
      </c>
      <c r="B46" s="86">
        <f>IF('CALCULADORA TIV V-1'!$F$10="Contractual",ROUND('Tabla de Amortizacion'!B47,15),IF('CALCULADORA TIV V-1'!$F$10="6% (Medio)",ROUND('Tabla de Amortizacion'!D47,15),IF('CALCULADORA TIV V-1'!$F$10="10% (Medio Alto)",ROUND('Tabla de Amortizacion'!F47,15),IF('CALCULADORA TIV V-1'!$F$10="14% (Alto)",ROUND('Tabla de Amortizacion'!H47,15),IF('CALCULADORA TIV V-1'!$F$10="20%_",ROUND('Tabla de Amortizacion'!J47,15),ROUND('Tabla de Amortizacion'!L47,15))))))</f>
        <v>0</v>
      </c>
    </row>
    <row r="47" spans="1:2" ht="12.75">
      <c r="A47" s="29">
        <f t="shared" si="1"/>
        <v>45127</v>
      </c>
      <c r="B47" s="86">
        <f>IF('CALCULADORA TIV V-1'!$F$10="Contractual",ROUND('Tabla de Amortizacion'!B48,15),IF('CALCULADORA TIV V-1'!$F$10="6% (Medio)",ROUND('Tabla de Amortizacion'!D48,15),IF('CALCULADORA TIV V-1'!$F$10="10% (Medio Alto)",ROUND('Tabla de Amortizacion'!F48,15),IF('CALCULADORA TIV V-1'!$F$10="14% (Alto)",ROUND('Tabla de Amortizacion'!H48,15),IF('CALCULADORA TIV V-1'!$F$10="20%_",ROUND('Tabla de Amortizacion'!J48,15),ROUND('Tabla de Amortizacion'!L48,15))))))</f>
        <v>0</v>
      </c>
    </row>
    <row r="48" spans="1:2" ht="12.75">
      <c r="A48" s="29">
        <f t="shared" si="1"/>
        <v>45158</v>
      </c>
      <c r="B48" s="86">
        <f>IF('CALCULADORA TIV V-1'!$F$10="Contractual",ROUND('Tabla de Amortizacion'!B49,15),IF('CALCULADORA TIV V-1'!$F$10="6% (Medio)",ROUND('Tabla de Amortizacion'!D49,15),IF('CALCULADORA TIV V-1'!$F$10="10% (Medio Alto)",ROUND('Tabla de Amortizacion'!F49,15),IF('CALCULADORA TIV V-1'!$F$10="14% (Alto)",ROUND('Tabla de Amortizacion'!H49,15),IF('CALCULADORA TIV V-1'!$F$10="20%_",ROUND('Tabla de Amortizacion'!J49,15),ROUND('Tabla de Amortizacion'!L49,15))))))</f>
        <v>0</v>
      </c>
    </row>
    <row r="49" spans="1:2" ht="12.75">
      <c r="A49" s="29">
        <f t="shared" si="1"/>
        <v>45189</v>
      </c>
      <c r="B49" s="86">
        <f>IF('CALCULADORA TIV V-1'!$F$10="Contractual",ROUND('Tabla de Amortizacion'!B50,15),IF('CALCULADORA TIV V-1'!$F$10="6% (Medio)",ROUND('Tabla de Amortizacion'!D50,15),IF('CALCULADORA TIV V-1'!$F$10="10% (Medio Alto)",ROUND('Tabla de Amortizacion'!F50,15),IF('CALCULADORA TIV V-1'!$F$10="14% (Alto)",ROUND('Tabla de Amortizacion'!H50,15),IF('CALCULADORA TIV V-1'!$F$10="20%_",ROUND('Tabla de Amortizacion'!J50,15),ROUND('Tabla de Amortizacion'!L50,15))))))</f>
        <v>0</v>
      </c>
    </row>
    <row r="50" spans="1:2" ht="12.75">
      <c r="A50" s="29">
        <f t="shared" si="1"/>
        <v>45219</v>
      </c>
      <c r="B50" s="86">
        <f>IF('CALCULADORA TIV V-1'!$F$10="Contractual",ROUND('Tabla de Amortizacion'!B51,15),IF('CALCULADORA TIV V-1'!$F$10="6% (Medio)",ROUND('Tabla de Amortizacion'!D51,15),IF('CALCULADORA TIV V-1'!$F$10="10% (Medio Alto)",ROUND('Tabla de Amortizacion'!F51,15),IF('CALCULADORA TIV V-1'!$F$10="14% (Alto)",ROUND('Tabla de Amortizacion'!H51,15),IF('CALCULADORA TIV V-1'!$F$10="20%_",ROUND('Tabla de Amortizacion'!J51,15),ROUND('Tabla de Amortizacion'!L51,15))))))</f>
        <v>0</v>
      </c>
    </row>
    <row r="51" spans="1:2" ht="12.75">
      <c r="A51" s="29">
        <f t="shared" si="1"/>
        <v>45250</v>
      </c>
      <c r="B51" s="86">
        <f>IF('CALCULADORA TIV V-1'!$F$10="Contractual",ROUND('Tabla de Amortizacion'!B52,15),IF('CALCULADORA TIV V-1'!$F$10="6% (Medio)",ROUND('Tabla de Amortizacion'!D52,15),IF('CALCULADORA TIV V-1'!$F$10="10% (Medio Alto)",ROUND('Tabla de Amortizacion'!F52,15),IF('CALCULADORA TIV V-1'!$F$10="14% (Alto)",ROUND('Tabla de Amortizacion'!H52,15),IF('CALCULADORA TIV V-1'!$F$10="20%_",ROUND('Tabla de Amortizacion'!J52,15),ROUND('Tabla de Amortizacion'!L52,15))))))</f>
        <v>0</v>
      </c>
    </row>
    <row r="52" spans="1:2" ht="12.75">
      <c r="A52" s="29">
        <f t="shared" si="1"/>
        <v>45280</v>
      </c>
      <c r="B52" s="86">
        <f>IF('CALCULADORA TIV V-1'!$F$10="Contractual",ROUND('Tabla de Amortizacion'!B53,15),IF('CALCULADORA TIV V-1'!$F$10="6% (Medio)",ROUND('Tabla de Amortizacion'!D53,15),IF('CALCULADORA TIV V-1'!$F$10="10% (Medio Alto)",ROUND('Tabla de Amortizacion'!F53,15),IF('CALCULADORA TIV V-1'!$F$10="14% (Alto)",ROUND('Tabla de Amortizacion'!H53,15),IF('CALCULADORA TIV V-1'!$F$10="20%_",ROUND('Tabla de Amortizacion'!J53,15),ROUND('Tabla de Amortizacion'!L53,15))))))</f>
        <v>0</v>
      </c>
    </row>
    <row r="53" spans="1:2" ht="12.75">
      <c r="A53" s="29">
        <f t="shared" si="1"/>
        <v>45311</v>
      </c>
      <c r="B53" s="86">
        <f>IF('CALCULADORA TIV V-1'!$F$10="Contractual",ROUND('Tabla de Amortizacion'!B54,15),IF('CALCULADORA TIV V-1'!$F$10="6% (Medio)",ROUND('Tabla de Amortizacion'!D54,15),IF('CALCULADORA TIV V-1'!$F$10="10% (Medio Alto)",ROUND('Tabla de Amortizacion'!F54,15),IF('CALCULADORA TIV V-1'!$F$10="14% (Alto)",ROUND('Tabla de Amortizacion'!H54,15),IF('CALCULADORA TIV V-1'!$F$10="20%_",ROUND('Tabla de Amortizacion'!J54,15),ROUND('Tabla de Amortizacion'!L54,15))))))</f>
        <v>0</v>
      </c>
    </row>
    <row r="54" spans="1:2" ht="12.75">
      <c r="A54" s="29">
        <f t="shared" si="1"/>
        <v>45342</v>
      </c>
      <c r="B54" s="86">
        <f>IF('CALCULADORA TIV V-1'!$F$10="Contractual",ROUND('Tabla de Amortizacion'!B55,15),IF('CALCULADORA TIV V-1'!$F$10="6% (Medio)",ROUND('Tabla de Amortizacion'!D55,15),IF('CALCULADORA TIV V-1'!$F$10="10% (Medio Alto)",ROUND('Tabla de Amortizacion'!F55,15),IF('CALCULADORA TIV V-1'!$F$10="14% (Alto)",ROUND('Tabla de Amortizacion'!H55,15),IF('CALCULADORA TIV V-1'!$F$10="20%_",ROUND('Tabla de Amortizacion'!J55,15),ROUND('Tabla de Amortizacion'!L55,15))))))</f>
        <v>0</v>
      </c>
    </row>
    <row r="55" spans="1:2" ht="12.75">
      <c r="A55" s="29">
        <f t="shared" si="1"/>
        <v>45371</v>
      </c>
      <c r="B55" s="86">
        <f>IF('CALCULADORA TIV V-1'!$F$10="Contractual",ROUND('Tabla de Amortizacion'!B56,15),IF('CALCULADORA TIV V-1'!$F$10="6% (Medio)",ROUND('Tabla de Amortizacion'!D56,15),IF('CALCULADORA TIV V-1'!$F$10="10% (Medio Alto)",ROUND('Tabla de Amortizacion'!F56,15),IF('CALCULADORA TIV V-1'!$F$10="14% (Alto)",ROUND('Tabla de Amortizacion'!H56,15),IF('CALCULADORA TIV V-1'!$F$10="20%_",ROUND('Tabla de Amortizacion'!J56,15),ROUND('Tabla de Amortizacion'!L56,15))))))</f>
        <v>0</v>
      </c>
    </row>
    <row r="56" spans="1:2" ht="12.75">
      <c r="A56" s="29">
        <f t="shared" si="1"/>
        <v>45402</v>
      </c>
      <c r="B56" s="86">
        <f>IF('CALCULADORA TIV V-1'!$F$10="Contractual",ROUND('Tabla de Amortizacion'!B57,15),IF('CALCULADORA TIV V-1'!$F$10="6% (Medio)",ROUND('Tabla de Amortizacion'!D57,15),IF('CALCULADORA TIV V-1'!$F$10="10% (Medio Alto)",ROUND('Tabla de Amortizacion'!F57,15),IF('CALCULADORA TIV V-1'!$F$10="14% (Alto)",ROUND('Tabla de Amortizacion'!H57,15),IF('CALCULADORA TIV V-1'!$F$10="20%_",ROUND('Tabla de Amortizacion'!J57,15),ROUND('Tabla de Amortizacion'!L57,15))))))</f>
        <v>0</v>
      </c>
    </row>
    <row r="57" spans="1:2" ht="12.75">
      <c r="A57" s="29">
        <f t="shared" si="1"/>
        <v>45432</v>
      </c>
      <c r="B57" s="86">
        <f>IF('CALCULADORA TIV V-1'!$F$10="Contractual",ROUND('Tabla de Amortizacion'!B58,15),IF('CALCULADORA TIV V-1'!$F$10="6% (Medio)",ROUND('Tabla de Amortizacion'!D58,15),IF('CALCULADORA TIV V-1'!$F$10="10% (Medio Alto)",ROUND('Tabla de Amortizacion'!F58,15),IF('CALCULADORA TIV V-1'!$F$10="14% (Alto)",ROUND('Tabla de Amortizacion'!H58,15),IF('CALCULADORA TIV V-1'!$F$10="20%_",ROUND('Tabla de Amortizacion'!J58,15),ROUND('Tabla de Amortizacion'!L58,15))))))</f>
        <v>0</v>
      </c>
    </row>
    <row r="58" spans="1:2" ht="12.75">
      <c r="A58" s="29">
        <f t="shared" si="1"/>
        <v>45463</v>
      </c>
      <c r="B58" s="86">
        <f>IF('CALCULADORA TIV V-1'!$F$10="Contractual",ROUND('Tabla de Amortizacion'!B59,15),IF('CALCULADORA TIV V-1'!$F$10="6% (Medio)",ROUND('Tabla de Amortizacion'!D59,15),IF('CALCULADORA TIV V-1'!$F$10="10% (Medio Alto)",ROUND('Tabla de Amortizacion'!F59,15),IF('CALCULADORA TIV V-1'!$F$10="14% (Alto)",ROUND('Tabla de Amortizacion'!H59,15),IF('CALCULADORA TIV V-1'!$F$10="20%_",ROUND('Tabla de Amortizacion'!J59,15),ROUND('Tabla de Amortizacion'!L59,15))))))</f>
        <v>0</v>
      </c>
    </row>
    <row r="59" spans="1:2" ht="12.75">
      <c r="A59" s="29">
        <f t="shared" si="1"/>
        <v>45493</v>
      </c>
      <c r="B59" s="86">
        <f>IF('CALCULADORA TIV V-1'!$F$10="Contractual",ROUND('Tabla de Amortizacion'!B60,15),IF('CALCULADORA TIV V-1'!$F$10="6% (Medio)",ROUND('Tabla de Amortizacion'!D60,15),IF('CALCULADORA TIV V-1'!$F$10="10% (Medio Alto)",ROUND('Tabla de Amortizacion'!F60,15),IF('CALCULADORA TIV V-1'!$F$10="14% (Alto)",ROUND('Tabla de Amortizacion'!H60,15),IF('CALCULADORA TIV V-1'!$F$10="20%_",ROUND('Tabla de Amortizacion'!J60,15),ROUND('Tabla de Amortizacion'!L60,15))))))</f>
        <v>0</v>
      </c>
    </row>
    <row r="60" spans="1:2" ht="12.75">
      <c r="A60" s="29">
        <f t="shared" si="1"/>
        <v>45524</v>
      </c>
      <c r="B60" s="86">
        <f>IF('CALCULADORA TIV V-1'!$F$10="Contractual",ROUND('Tabla de Amortizacion'!B61,15),IF('CALCULADORA TIV V-1'!$F$10="6% (Medio)",ROUND('Tabla de Amortizacion'!D61,15),IF('CALCULADORA TIV V-1'!$F$10="10% (Medio Alto)",ROUND('Tabla de Amortizacion'!F61,15),IF('CALCULADORA TIV V-1'!$F$10="14% (Alto)",ROUND('Tabla de Amortizacion'!H61,15),IF('CALCULADORA TIV V-1'!$F$10="20%_",ROUND('Tabla de Amortizacion'!J61,15),ROUND('Tabla de Amortizacion'!L61,15))))))</f>
        <v>0</v>
      </c>
    </row>
    <row r="61" spans="1:2" ht="12.75">
      <c r="A61" s="29">
        <f t="shared" si="1"/>
        <v>45555</v>
      </c>
      <c r="B61" s="86">
        <f>IF('CALCULADORA TIV V-1'!$F$10="Contractual",ROUND('Tabla de Amortizacion'!B62,15),IF('CALCULADORA TIV V-1'!$F$10="6% (Medio)",ROUND('Tabla de Amortizacion'!D62,15),IF('CALCULADORA TIV V-1'!$F$10="10% (Medio Alto)",ROUND('Tabla de Amortizacion'!F62,15),IF('CALCULADORA TIV V-1'!$F$10="14% (Alto)",ROUND('Tabla de Amortizacion'!H62,15),IF('CALCULADORA TIV V-1'!$F$10="20%_",ROUND('Tabla de Amortizacion'!J62,15),ROUND('Tabla de Amortizacion'!L62,15))))))</f>
        <v>0</v>
      </c>
    </row>
    <row r="62" spans="1:2" ht="12.75">
      <c r="A62" s="29">
        <f t="shared" si="1"/>
        <v>45585</v>
      </c>
      <c r="B62" s="86">
        <f>IF('CALCULADORA TIV V-1'!$F$10="Contractual",ROUND('Tabla de Amortizacion'!B63,15),IF('CALCULADORA TIV V-1'!$F$10="6% (Medio)",ROUND('Tabla de Amortizacion'!D63,15),IF('CALCULADORA TIV V-1'!$F$10="10% (Medio Alto)",ROUND('Tabla de Amortizacion'!F63,15),IF('CALCULADORA TIV V-1'!$F$10="14% (Alto)",ROUND('Tabla de Amortizacion'!H63,15),IF('CALCULADORA TIV V-1'!$F$10="20%_",ROUND('Tabla de Amortizacion'!J63,15),ROUND('Tabla de Amortizacion'!L63,15))))))</f>
        <v>0</v>
      </c>
    </row>
    <row r="63" spans="1:2" ht="12.75">
      <c r="A63" s="29">
        <f t="shared" si="1"/>
        <v>45616</v>
      </c>
      <c r="B63" s="86">
        <f>IF('CALCULADORA TIV V-1'!$F$10="Contractual",ROUND('Tabla de Amortizacion'!B64,15),IF('CALCULADORA TIV V-1'!$F$10="6% (Medio)",ROUND('Tabla de Amortizacion'!D64,15),IF('CALCULADORA TIV V-1'!$F$10="10% (Medio Alto)",ROUND('Tabla de Amortizacion'!F64,15),IF('CALCULADORA TIV V-1'!$F$10="14% (Alto)",ROUND('Tabla de Amortizacion'!H64,15),IF('CALCULADORA TIV V-1'!$F$10="20%_",ROUND('Tabla de Amortizacion'!J64,15),ROUND('Tabla de Amortizacion'!L64,15))))))</f>
        <v>0</v>
      </c>
    </row>
    <row r="64" spans="1:2" ht="12.75">
      <c r="A64" s="29">
        <f t="shared" si="1"/>
        <v>45646</v>
      </c>
      <c r="B64" s="86">
        <f>IF('CALCULADORA TIV V-1'!$F$10="Contractual",ROUND('Tabla de Amortizacion'!B65,15),IF('CALCULADORA TIV V-1'!$F$10="6% (Medio)",ROUND('Tabla de Amortizacion'!D65,15),IF('CALCULADORA TIV V-1'!$F$10="10% (Medio Alto)",ROUND('Tabla de Amortizacion'!F65,15),IF('CALCULADORA TIV V-1'!$F$10="14% (Alto)",ROUND('Tabla de Amortizacion'!H65,15),IF('CALCULADORA TIV V-1'!$F$10="20%_",ROUND('Tabla de Amortizacion'!J65,15),ROUND('Tabla de Amortizacion'!L65,15))))))</f>
        <v>0</v>
      </c>
    </row>
    <row r="65" spans="1:2" ht="12.75">
      <c r="A65" s="29">
        <f t="shared" si="1"/>
        <v>45677</v>
      </c>
      <c r="B65" s="86">
        <f>IF('CALCULADORA TIV V-1'!$F$10="Contractual",ROUND('Tabla de Amortizacion'!B66,15),IF('CALCULADORA TIV V-1'!$F$10="6% (Medio)",ROUND('Tabla de Amortizacion'!D66,15),IF('CALCULADORA TIV V-1'!$F$10="10% (Medio Alto)",ROUND('Tabla de Amortizacion'!F66,15),IF('CALCULADORA TIV V-1'!$F$10="14% (Alto)",ROUND('Tabla de Amortizacion'!H66,15),IF('CALCULADORA TIV V-1'!$F$10="20%_",ROUND('Tabla de Amortizacion'!J66,15),ROUND('Tabla de Amortizacion'!L66,15))))))</f>
        <v>0</v>
      </c>
    </row>
    <row r="66" spans="1:2" ht="12.75">
      <c r="A66" s="29">
        <f t="shared" si="1"/>
        <v>45708</v>
      </c>
      <c r="B66" s="86">
        <f>IF('CALCULADORA TIV V-1'!$F$10="Contractual",ROUND('Tabla de Amortizacion'!B67,15),IF('CALCULADORA TIV V-1'!$F$10="6% (Medio)",ROUND('Tabla de Amortizacion'!D67,15),IF('CALCULADORA TIV V-1'!$F$10="10% (Medio Alto)",ROUND('Tabla de Amortizacion'!F67,15),IF('CALCULADORA TIV V-1'!$F$10="14% (Alto)",ROUND('Tabla de Amortizacion'!H67,15),IF('CALCULADORA TIV V-1'!$F$10="20%_",ROUND('Tabla de Amortizacion'!J67,15),ROUND('Tabla de Amortizacion'!L67,15))))))</f>
        <v>0</v>
      </c>
    </row>
    <row r="67" spans="1:2" ht="12.75">
      <c r="A67" s="29">
        <f aca="true" t="shared" si="2" ref="A67:A98">_XLL.FECHA.MES(A66,1)</f>
        <v>45736</v>
      </c>
      <c r="B67" s="86">
        <f>IF('CALCULADORA TIV V-1'!$F$10="Contractual",ROUND('Tabla de Amortizacion'!B68,15),IF('CALCULADORA TIV V-1'!$F$10="6% (Medio)",ROUND('Tabla de Amortizacion'!D68,15),IF('CALCULADORA TIV V-1'!$F$10="10% (Medio Alto)",ROUND('Tabla de Amortizacion'!F68,15),IF('CALCULADORA TIV V-1'!$F$10="14% (Alto)",ROUND('Tabla de Amortizacion'!H68,15),IF('CALCULADORA TIV V-1'!$F$10="20%_",ROUND('Tabla de Amortizacion'!J68,15),ROUND('Tabla de Amortizacion'!L68,15))))))</f>
        <v>0</v>
      </c>
    </row>
    <row r="68" spans="1:2" ht="12.75">
      <c r="A68" s="29">
        <f t="shared" si="2"/>
        <v>45767</v>
      </c>
      <c r="B68" s="86">
        <f>IF('CALCULADORA TIV V-1'!$F$10="Contractual",ROUND('Tabla de Amortizacion'!B69,15),IF('CALCULADORA TIV V-1'!$F$10="6% (Medio)",ROUND('Tabla de Amortizacion'!D69,15),IF('CALCULADORA TIV V-1'!$F$10="10% (Medio Alto)",ROUND('Tabla de Amortizacion'!F69,15),IF('CALCULADORA TIV V-1'!$F$10="14% (Alto)",ROUND('Tabla de Amortizacion'!H69,15),IF('CALCULADORA TIV V-1'!$F$10="20%_",ROUND('Tabla de Amortizacion'!J69,15),ROUND('Tabla de Amortizacion'!L69,15))))))</f>
        <v>0</v>
      </c>
    </row>
    <row r="69" spans="1:2" ht="12.75">
      <c r="A69" s="29">
        <f t="shared" si="2"/>
        <v>45797</v>
      </c>
      <c r="B69" s="86">
        <f>IF('CALCULADORA TIV V-1'!$F$10="Contractual",ROUND('Tabla de Amortizacion'!B70,15),IF('CALCULADORA TIV V-1'!$F$10="6% (Medio)",ROUND('Tabla de Amortizacion'!D70,15),IF('CALCULADORA TIV V-1'!$F$10="10% (Medio Alto)",ROUND('Tabla de Amortizacion'!F70,15),IF('CALCULADORA TIV V-1'!$F$10="14% (Alto)",ROUND('Tabla de Amortizacion'!H70,15),IF('CALCULADORA TIV V-1'!$F$10="20%_",ROUND('Tabla de Amortizacion'!J70,15),ROUND('Tabla de Amortizacion'!L70,15))))))</f>
        <v>0</v>
      </c>
    </row>
    <row r="70" spans="1:2" ht="12.75">
      <c r="A70" s="29">
        <f t="shared" si="2"/>
        <v>45828</v>
      </c>
      <c r="B70" s="86">
        <f>IF('CALCULADORA TIV V-1'!$F$10="Contractual",ROUND('Tabla de Amortizacion'!B71,15),IF('CALCULADORA TIV V-1'!$F$10="6% (Medio)",ROUND('Tabla de Amortizacion'!D71,15),IF('CALCULADORA TIV V-1'!$F$10="10% (Medio Alto)",ROUND('Tabla de Amortizacion'!F71,15),IF('CALCULADORA TIV V-1'!$F$10="14% (Alto)",ROUND('Tabla de Amortizacion'!H71,15),IF('CALCULADORA TIV V-1'!$F$10="20%_",ROUND('Tabla de Amortizacion'!J71,15),ROUND('Tabla de Amortizacion'!L71,15))))))</f>
        <v>0</v>
      </c>
    </row>
    <row r="71" spans="1:2" ht="12.75">
      <c r="A71" s="29">
        <f t="shared" si="2"/>
        <v>45858</v>
      </c>
      <c r="B71" s="86">
        <f>IF('CALCULADORA TIV V-1'!$F$10="Contractual",ROUND('Tabla de Amortizacion'!B72,15),IF('CALCULADORA TIV V-1'!$F$10="6% (Medio)",ROUND('Tabla de Amortizacion'!D72,15),IF('CALCULADORA TIV V-1'!$F$10="10% (Medio Alto)",ROUND('Tabla de Amortizacion'!F72,15),IF('CALCULADORA TIV V-1'!$F$10="14% (Alto)",ROUND('Tabla de Amortizacion'!H72,15),IF('CALCULADORA TIV V-1'!$F$10="20%_",ROUND('Tabla de Amortizacion'!J72,15),ROUND('Tabla de Amortizacion'!L72,15))))))</f>
        <v>0</v>
      </c>
    </row>
    <row r="72" spans="1:2" ht="12.75">
      <c r="A72" s="29">
        <f t="shared" si="2"/>
        <v>45889</v>
      </c>
      <c r="B72" s="86">
        <f>IF('CALCULADORA TIV V-1'!$F$10="Contractual",ROUND('Tabla de Amortizacion'!B73,15),IF('CALCULADORA TIV V-1'!$F$10="6% (Medio)",ROUND('Tabla de Amortizacion'!D73,15),IF('CALCULADORA TIV V-1'!$F$10="10% (Medio Alto)",ROUND('Tabla de Amortizacion'!F73,15),IF('CALCULADORA TIV V-1'!$F$10="14% (Alto)",ROUND('Tabla de Amortizacion'!H73,15),IF('CALCULADORA TIV V-1'!$F$10="20%_",ROUND('Tabla de Amortizacion'!J73,15),ROUND('Tabla de Amortizacion'!L73,15))))))</f>
        <v>0</v>
      </c>
    </row>
    <row r="73" spans="1:2" ht="12.75">
      <c r="A73" s="29">
        <f t="shared" si="2"/>
        <v>45920</v>
      </c>
      <c r="B73" s="86">
        <f>IF('CALCULADORA TIV V-1'!$F$10="Contractual",ROUND('Tabla de Amortizacion'!B74,15),IF('CALCULADORA TIV V-1'!$F$10="6% (Medio)",ROUND('Tabla de Amortizacion'!D74,15),IF('CALCULADORA TIV V-1'!$F$10="10% (Medio Alto)",ROUND('Tabla de Amortizacion'!F74,15),IF('CALCULADORA TIV V-1'!$F$10="14% (Alto)",ROUND('Tabla de Amortizacion'!H74,15),IF('CALCULADORA TIV V-1'!$F$10="20%_",ROUND('Tabla de Amortizacion'!J74,15),ROUND('Tabla de Amortizacion'!L74,15))))))</f>
        <v>0</v>
      </c>
    </row>
    <row r="74" spans="1:2" ht="12.75">
      <c r="A74" s="29">
        <f t="shared" si="2"/>
        <v>45950</v>
      </c>
      <c r="B74" s="86">
        <f>IF('CALCULADORA TIV V-1'!$F$10="Contractual",ROUND('Tabla de Amortizacion'!B75,15),IF('CALCULADORA TIV V-1'!$F$10="6% (Medio)",ROUND('Tabla de Amortizacion'!D75,15),IF('CALCULADORA TIV V-1'!$F$10="10% (Medio Alto)",ROUND('Tabla de Amortizacion'!F75,15),IF('CALCULADORA TIV V-1'!$F$10="14% (Alto)",ROUND('Tabla de Amortizacion'!H75,15),IF('CALCULADORA TIV V-1'!$F$10="20%_",ROUND('Tabla de Amortizacion'!J75,15),ROUND('Tabla de Amortizacion'!L75,15))))))</f>
        <v>0</v>
      </c>
    </row>
    <row r="75" spans="1:2" ht="12.75">
      <c r="A75" s="29">
        <f t="shared" si="2"/>
        <v>45981</v>
      </c>
      <c r="B75" s="86">
        <f>IF('CALCULADORA TIV V-1'!$F$10="Contractual",ROUND('Tabla de Amortizacion'!B76,15),IF('CALCULADORA TIV V-1'!$F$10="6% (Medio)",ROUND('Tabla de Amortizacion'!D76,15),IF('CALCULADORA TIV V-1'!$F$10="10% (Medio Alto)",ROUND('Tabla de Amortizacion'!F76,15),IF('CALCULADORA TIV V-1'!$F$10="14% (Alto)",ROUND('Tabla de Amortizacion'!H76,15),IF('CALCULADORA TIV V-1'!$F$10="20%_",ROUND('Tabla de Amortizacion'!J76,15),ROUND('Tabla de Amortizacion'!L76,15))))))</f>
        <v>0</v>
      </c>
    </row>
    <row r="76" spans="1:2" ht="12.75">
      <c r="A76" s="29">
        <f t="shared" si="2"/>
        <v>46011</v>
      </c>
      <c r="B76" s="86">
        <f>IF('CALCULADORA TIV V-1'!$F$10="Contractual",ROUND('Tabla de Amortizacion'!B77,15),IF('CALCULADORA TIV V-1'!$F$10="6% (Medio)",ROUND('Tabla de Amortizacion'!D77,15),IF('CALCULADORA TIV V-1'!$F$10="10% (Medio Alto)",ROUND('Tabla de Amortizacion'!F77,15),IF('CALCULADORA TIV V-1'!$F$10="14% (Alto)",ROUND('Tabla de Amortizacion'!H77,15),IF('CALCULADORA TIV V-1'!$F$10="20%_",ROUND('Tabla de Amortizacion'!J77,15),ROUND('Tabla de Amortizacion'!L77,15))))))</f>
        <v>0</v>
      </c>
    </row>
    <row r="77" spans="1:2" ht="12.75">
      <c r="A77" s="29">
        <f t="shared" si="2"/>
        <v>46042</v>
      </c>
      <c r="B77" s="86">
        <f>IF('CALCULADORA TIV V-1'!$F$10="Contractual",ROUND('Tabla de Amortizacion'!B78,15),IF('CALCULADORA TIV V-1'!$F$10="6% (Medio)",ROUND('Tabla de Amortizacion'!D78,15),IF('CALCULADORA TIV V-1'!$F$10="10% (Medio Alto)",ROUND('Tabla de Amortizacion'!F78,15),IF('CALCULADORA TIV V-1'!$F$10="14% (Alto)",ROUND('Tabla de Amortizacion'!H78,15),IF('CALCULADORA TIV V-1'!$F$10="20%_",ROUND('Tabla de Amortizacion'!J78,15),ROUND('Tabla de Amortizacion'!L78,15))))))</f>
        <v>0</v>
      </c>
    </row>
    <row r="78" spans="1:2" ht="12.75">
      <c r="A78" s="29">
        <f t="shared" si="2"/>
        <v>46073</v>
      </c>
      <c r="B78" s="86">
        <f>IF('CALCULADORA TIV V-1'!$F$10="Contractual",ROUND('Tabla de Amortizacion'!B79,15),IF('CALCULADORA TIV V-1'!$F$10="6% (Medio)",ROUND('Tabla de Amortizacion'!D79,15),IF('CALCULADORA TIV V-1'!$F$10="10% (Medio Alto)",ROUND('Tabla de Amortizacion'!F79,15),IF('CALCULADORA TIV V-1'!$F$10="14% (Alto)",ROUND('Tabla de Amortizacion'!H79,15),IF('CALCULADORA TIV V-1'!$F$10="20%_",ROUND('Tabla de Amortizacion'!J79,15),ROUND('Tabla de Amortizacion'!L79,15))))))</f>
        <v>0</v>
      </c>
    </row>
    <row r="79" spans="1:2" ht="12.75">
      <c r="A79" s="29">
        <f t="shared" si="2"/>
        <v>46101</v>
      </c>
      <c r="B79" s="86">
        <f>IF('CALCULADORA TIV V-1'!$F$10="Contractual",ROUND('Tabla de Amortizacion'!B80,15),IF('CALCULADORA TIV V-1'!$F$10="6% (Medio)",ROUND('Tabla de Amortizacion'!D80,15),IF('CALCULADORA TIV V-1'!$F$10="10% (Medio Alto)",ROUND('Tabla de Amortizacion'!F80,15),IF('CALCULADORA TIV V-1'!$F$10="14% (Alto)",ROUND('Tabla de Amortizacion'!H80,15),IF('CALCULADORA TIV V-1'!$F$10="20%_",ROUND('Tabla de Amortizacion'!J80,15),ROUND('Tabla de Amortizacion'!L80,15))))))</f>
        <v>0</v>
      </c>
    </row>
    <row r="80" spans="1:2" ht="12.75">
      <c r="A80" s="29">
        <f t="shared" si="2"/>
        <v>46132</v>
      </c>
      <c r="B80" s="86">
        <f>IF('CALCULADORA TIV V-1'!$F$10="Contractual",ROUND('Tabla de Amortizacion'!B81,15),IF('CALCULADORA TIV V-1'!$F$10="6% (Medio)",ROUND('Tabla de Amortizacion'!D81,15),IF('CALCULADORA TIV V-1'!$F$10="10% (Medio Alto)",ROUND('Tabla de Amortizacion'!F81,15),IF('CALCULADORA TIV V-1'!$F$10="14% (Alto)",ROUND('Tabla de Amortizacion'!H81,15),IF('CALCULADORA TIV V-1'!$F$10="20%_",ROUND('Tabla de Amortizacion'!J81,15),ROUND('Tabla de Amortizacion'!L81,15))))))</f>
        <v>0</v>
      </c>
    </row>
    <row r="81" spans="1:2" ht="12.75">
      <c r="A81" s="29">
        <f t="shared" si="2"/>
        <v>46162</v>
      </c>
      <c r="B81" s="86">
        <f>IF('CALCULADORA TIV V-1'!$F$10="Contractual",ROUND('Tabla de Amortizacion'!B82,15),IF('CALCULADORA TIV V-1'!$F$10="6% (Medio)",ROUND('Tabla de Amortizacion'!D82,15),IF('CALCULADORA TIV V-1'!$F$10="10% (Medio Alto)",ROUND('Tabla de Amortizacion'!F82,15),IF('CALCULADORA TIV V-1'!$F$10="14% (Alto)",ROUND('Tabla de Amortizacion'!H82,15),IF('CALCULADORA TIV V-1'!$F$10="20%_",ROUND('Tabla de Amortizacion'!J82,15),ROUND('Tabla de Amortizacion'!L82,15))))))</f>
        <v>0</v>
      </c>
    </row>
    <row r="82" spans="1:2" ht="12.75">
      <c r="A82" s="29">
        <f t="shared" si="2"/>
        <v>46193</v>
      </c>
      <c r="B82" s="86">
        <f>IF('CALCULADORA TIV V-1'!$F$10="Contractual",ROUND('Tabla de Amortizacion'!B83,15),IF('CALCULADORA TIV V-1'!$F$10="6% (Medio)",ROUND('Tabla de Amortizacion'!D83,15),IF('CALCULADORA TIV V-1'!$F$10="10% (Medio Alto)",ROUND('Tabla de Amortizacion'!F83,15),IF('CALCULADORA TIV V-1'!$F$10="14% (Alto)",ROUND('Tabla de Amortizacion'!H83,15),IF('CALCULADORA TIV V-1'!$F$10="20%_",ROUND('Tabla de Amortizacion'!J83,15),ROUND('Tabla de Amortizacion'!L83,15))))))</f>
        <v>0</v>
      </c>
    </row>
    <row r="83" spans="1:2" ht="12.75">
      <c r="A83" s="29">
        <f t="shared" si="2"/>
        <v>46223</v>
      </c>
      <c r="B83" s="86">
        <f>IF('CALCULADORA TIV V-1'!$F$10="Contractual",ROUND('Tabla de Amortizacion'!B84,15),IF('CALCULADORA TIV V-1'!$F$10="6% (Medio)",ROUND('Tabla de Amortizacion'!D84,15),IF('CALCULADORA TIV V-1'!$F$10="10% (Medio Alto)",ROUND('Tabla de Amortizacion'!F84,15),IF('CALCULADORA TIV V-1'!$F$10="14% (Alto)",ROUND('Tabla de Amortizacion'!H84,15),IF('CALCULADORA TIV V-1'!$F$10="20%_",ROUND('Tabla de Amortizacion'!J84,15),ROUND('Tabla de Amortizacion'!L84,15))))))</f>
        <v>0</v>
      </c>
    </row>
    <row r="84" spans="1:2" ht="12.75">
      <c r="A84" s="29">
        <f t="shared" si="2"/>
        <v>46254</v>
      </c>
      <c r="B84" s="86">
        <f>IF('CALCULADORA TIV V-1'!$F$10="Contractual",ROUND('Tabla de Amortizacion'!B85,15),IF('CALCULADORA TIV V-1'!$F$10="6% (Medio)",ROUND('Tabla de Amortizacion'!D85,15),IF('CALCULADORA TIV V-1'!$F$10="10% (Medio Alto)",ROUND('Tabla de Amortizacion'!F85,15),IF('CALCULADORA TIV V-1'!$F$10="14% (Alto)",ROUND('Tabla de Amortizacion'!H85,15),IF('CALCULADORA TIV V-1'!$F$10="20%_",ROUND('Tabla de Amortizacion'!J85,15),ROUND('Tabla de Amortizacion'!L85,15))))))</f>
        <v>0</v>
      </c>
    </row>
    <row r="85" spans="1:2" ht="12.75">
      <c r="A85" s="29">
        <f t="shared" si="2"/>
        <v>46285</v>
      </c>
      <c r="B85" s="86">
        <f>IF('CALCULADORA TIV V-1'!$F$10="Contractual",ROUND('Tabla de Amortizacion'!B86,15),IF('CALCULADORA TIV V-1'!$F$10="6% (Medio)",ROUND('Tabla de Amortizacion'!D86,15),IF('CALCULADORA TIV V-1'!$F$10="10% (Medio Alto)",ROUND('Tabla de Amortizacion'!F86,15),IF('CALCULADORA TIV V-1'!$F$10="14% (Alto)",ROUND('Tabla de Amortizacion'!H86,15),IF('CALCULADORA TIV V-1'!$F$10="20%_",ROUND('Tabla de Amortizacion'!J86,15),ROUND('Tabla de Amortizacion'!L86,15))))))</f>
        <v>0</v>
      </c>
    </row>
    <row r="86" spans="1:2" ht="12.75">
      <c r="A86" s="29">
        <f t="shared" si="2"/>
        <v>46315</v>
      </c>
      <c r="B86" s="86">
        <f>IF('CALCULADORA TIV V-1'!$F$10="Contractual",ROUND('Tabla de Amortizacion'!B87,15),IF('CALCULADORA TIV V-1'!$F$10="6% (Medio)",ROUND('Tabla de Amortizacion'!D87,15),IF('CALCULADORA TIV V-1'!$F$10="10% (Medio Alto)",ROUND('Tabla de Amortizacion'!F87,15),IF('CALCULADORA TIV V-1'!$F$10="14% (Alto)",ROUND('Tabla de Amortizacion'!H87,15),IF('CALCULADORA TIV V-1'!$F$10="20%_",ROUND('Tabla de Amortizacion'!J87,15),ROUND('Tabla de Amortizacion'!L87,15))))))</f>
        <v>0</v>
      </c>
    </row>
    <row r="87" spans="1:2" ht="12.75">
      <c r="A87" s="29">
        <f t="shared" si="2"/>
        <v>46346</v>
      </c>
      <c r="B87" s="86">
        <f>IF('CALCULADORA TIV V-1'!$F$10="Contractual",ROUND('Tabla de Amortizacion'!B88,15),IF('CALCULADORA TIV V-1'!$F$10="6% (Medio)",ROUND('Tabla de Amortizacion'!D88,15),IF('CALCULADORA TIV V-1'!$F$10="10% (Medio Alto)",ROUND('Tabla de Amortizacion'!F88,15),IF('CALCULADORA TIV V-1'!$F$10="14% (Alto)",ROUND('Tabla de Amortizacion'!H88,15),IF('CALCULADORA TIV V-1'!$F$10="20%_",ROUND('Tabla de Amortizacion'!J88,15),ROUND('Tabla de Amortizacion'!L88,15))))))</f>
        <v>0</v>
      </c>
    </row>
    <row r="88" spans="1:2" ht="12.75">
      <c r="A88" s="29">
        <f t="shared" si="2"/>
        <v>46376</v>
      </c>
      <c r="B88" s="86">
        <f>IF('CALCULADORA TIV V-1'!$F$10="Contractual",ROUND('Tabla de Amortizacion'!B89,15),IF('CALCULADORA TIV V-1'!$F$10="6% (Medio)",ROUND('Tabla de Amortizacion'!D89,15),IF('CALCULADORA TIV V-1'!$F$10="10% (Medio Alto)",ROUND('Tabla de Amortizacion'!F89,15),IF('CALCULADORA TIV V-1'!$F$10="14% (Alto)",ROUND('Tabla de Amortizacion'!H89,15),IF('CALCULADORA TIV V-1'!$F$10="20%_",ROUND('Tabla de Amortizacion'!J89,15),ROUND('Tabla de Amortizacion'!L89,15))))))</f>
        <v>0</v>
      </c>
    </row>
    <row r="89" spans="1:2" ht="12.75">
      <c r="A89" s="29">
        <f t="shared" si="2"/>
        <v>46407</v>
      </c>
      <c r="B89" s="86">
        <f>IF('CALCULADORA TIV V-1'!$F$10="Contractual",ROUND('Tabla de Amortizacion'!B90,15),IF('CALCULADORA TIV V-1'!$F$10="6% (Medio)",ROUND('Tabla de Amortizacion'!D90,15),IF('CALCULADORA TIV V-1'!$F$10="10% (Medio Alto)",ROUND('Tabla de Amortizacion'!F90,15),IF('CALCULADORA TIV V-1'!$F$10="14% (Alto)",ROUND('Tabla de Amortizacion'!H90,15),IF('CALCULADORA TIV V-1'!$F$10="20%_",ROUND('Tabla de Amortizacion'!J90,15),ROUND('Tabla de Amortizacion'!L90,15))))))</f>
        <v>0</v>
      </c>
    </row>
    <row r="90" spans="1:2" ht="12.75">
      <c r="A90" s="29">
        <f t="shared" si="2"/>
        <v>46438</v>
      </c>
      <c r="B90" s="86">
        <f>IF('CALCULADORA TIV V-1'!$F$10="Contractual",ROUND('Tabla de Amortizacion'!B91,15),IF('CALCULADORA TIV V-1'!$F$10="6% (Medio)",ROUND('Tabla de Amortizacion'!D91,15),IF('CALCULADORA TIV V-1'!$F$10="10% (Medio Alto)",ROUND('Tabla de Amortizacion'!F91,15),IF('CALCULADORA TIV V-1'!$F$10="14% (Alto)",ROUND('Tabla de Amortizacion'!H91,15),IF('CALCULADORA TIV V-1'!$F$10="20%_",ROUND('Tabla de Amortizacion'!J91,15),ROUND('Tabla de Amortizacion'!L91,15))))))</f>
        <v>0</v>
      </c>
    </row>
    <row r="91" spans="1:2" ht="12.75">
      <c r="A91" s="29">
        <f t="shared" si="2"/>
        <v>46466</v>
      </c>
      <c r="B91" s="86">
        <f>IF('CALCULADORA TIV V-1'!$F$10="Contractual",ROUND('Tabla de Amortizacion'!B92,15),IF('CALCULADORA TIV V-1'!$F$10="6% (Medio)",ROUND('Tabla de Amortizacion'!D92,15),IF('CALCULADORA TIV V-1'!$F$10="10% (Medio Alto)",ROUND('Tabla de Amortizacion'!F92,15),IF('CALCULADORA TIV V-1'!$F$10="14% (Alto)",ROUND('Tabla de Amortizacion'!H92,15),IF('CALCULADORA TIV V-1'!$F$10="20%_",ROUND('Tabla de Amortizacion'!J92,15),ROUND('Tabla de Amortizacion'!L92,15))))))</f>
        <v>0</v>
      </c>
    </row>
    <row r="92" spans="1:2" ht="12.75">
      <c r="A92" s="29">
        <f t="shared" si="2"/>
        <v>46497</v>
      </c>
      <c r="B92" s="86">
        <f>IF('CALCULADORA TIV V-1'!$F$10="Contractual",ROUND('Tabla de Amortizacion'!B93,15),IF('CALCULADORA TIV V-1'!$F$10="6% (Medio)",ROUND('Tabla de Amortizacion'!D93,15),IF('CALCULADORA TIV V-1'!$F$10="10% (Medio Alto)",ROUND('Tabla de Amortizacion'!F93,15),IF('CALCULADORA TIV V-1'!$F$10="14% (Alto)",ROUND('Tabla de Amortizacion'!H93,15),IF('CALCULADORA TIV V-1'!$F$10="20%_",ROUND('Tabla de Amortizacion'!J93,15),ROUND('Tabla de Amortizacion'!L93,15))))))</f>
        <v>0</v>
      </c>
    </row>
    <row r="93" spans="1:2" ht="12.75">
      <c r="A93" s="29">
        <f t="shared" si="2"/>
        <v>46527</v>
      </c>
      <c r="B93" s="86">
        <f>IF('CALCULADORA TIV V-1'!$F$10="Contractual",ROUND('Tabla de Amortizacion'!B94,15),IF('CALCULADORA TIV V-1'!$F$10="6% (Medio)",ROUND('Tabla de Amortizacion'!D94,15),IF('CALCULADORA TIV V-1'!$F$10="10% (Medio Alto)",ROUND('Tabla de Amortizacion'!F94,15),IF('CALCULADORA TIV V-1'!$F$10="14% (Alto)",ROUND('Tabla de Amortizacion'!H94,15),IF('CALCULADORA TIV V-1'!$F$10="20%_",ROUND('Tabla de Amortizacion'!J94,15),ROUND('Tabla de Amortizacion'!L94,15))))))</f>
        <v>0</v>
      </c>
    </row>
    <row r="94" spans="1:2" ht="12.75">
      <c r="A94" s="29">
        <f t="shared" si="2"/>
        <v>46558</v>
      </c>
      <c r="B94" s="86">
        <f>IF('CALCULADORA TIV V-1'!$F$10="Contractual",ROUND('Tabla de Amortizacion'!B95,15),IF('CALCULADORA TIV V-1'!$F$10="6% (Medio)",ROUND('Tabla de Amortizacion'!D95,15),IF('CALCULADORA TIV V-1'!$F$10="10% (Medio Alto)",ROUND('Tabla de Amortizacion'!F95,15),IF('CALCULADORA TIV V-1'!$F$10="14% (Alto)",ROUND('Tabla de Amortizacion'!H95,15),IF('CALCULADORA TIV V-1'!$F$10="20%_",ROUND('Tabla de Amortizacion'!J95,15),ROUND('Tabla de Amortizacion'!L95,15))))))</f>
        <v>0</v>
      </c>
    </row>
    <row r="95" spans="1:2" ht="12.75">
      <c r="A95" s="29">
        <f t="shared" si="2"/>
        <v>46588</v>
      </c>
      <c r="B95" s="86">
        <f>IF('CALCULADORA TIV V-1'!$F$10="Contractual",ROUND('Tabla de Amortizacion'!B96,15),IF('CALCULADORA TIV V-1'!$F$10="6% (Medio)",ROUND('Tabla de Amortizacion'!D96,15),IF('CALCULADORA TIV V-1'!$F$10="10% (Medio Alto)",ROUND('Tabla de Amortizacion'!F96,15),IF('CALCULADORA TIV V-1'!$F$10="14% (Alto)",ROUND('Tabla de Amortizacion'!H96,15),IF('CALCULADORA TIV V-1'!$F$10="20%_",ROUND('Tabla de Amortizacion'!J96,15),ROUND('Tabla de Amortizacion'!L96,15))))))</f>
        <v>0</v>
      </c>
    </row>
    <row r="96" spans="1:2" ht="12.75">
      <c r="A96" s="29">
        <f t="shared" si="2"/>
        <v>46619</v>
      </c>
      <c r="B96" s="86">
        <f>IF('CALCULADORA TIV V-1'!$F$10="Contractual",ROUND('Tabla de Amortizacion'!B97,15),IF('CALCULADORA TIV V-1'!$F$10="6% (Medio)",ROUND('Tabla de Amortizacion'!D97,15),IF('CALCULADORA TIV V-1'!$F$10="10% (Medio Alto)",ROUND('Tabla de Amortizacion'!F97,15),IF('CALCULADORA TIV V-1'!$F$10="14% (Alto)",ROUND('Tabla de Amortizacion'!H97,15),IF('CALCULADORA TIV V-1'!$F$10="20%_",ROUND('Tabla de Amortizacion'!J97,15),ROUND('Tabla de Amortizacion'!L97,15))))))</f>
        <v>0</v>
      </c>
    </row>
    <row r="97" spans="1:2" ht="12.75">
      <c r="A97" s="29">
        <f t="shared" si="2"/>
        <v>46650</v>
      </c>
      <c r="B97" s="86">
        <f>IF('CALCULADORA TIV V-1'!$F$10="Contractual",ROUND('Tabla de Amortizacion'!B98,15),IF('CALCULADORA TIV V-1'!$F$10="6% (Medio)",ROUND('Tabla de Amortizacion'!D98,15),IF('CALCULADORA TIV V-1'!$F$10="10% (Medio Alto)",ROUND('Tabla de Amortizacion'!F98,15),IF('CALCULADORA TIV V-1'!$F$10="14% (Alto)",ROUND('Tabla de Amortizacion'!H98,15),IF('CALCULADORA TIV V-1'!$F$10="20%_",ROUND('Tabla de Amortizacion'!J98,15),ROUND('Tabla de Amortizacion'!L98,15))))))</f>
        <v>0</v>
      </c>
    </row>
    <row r="98" spans="1:2" ht="12.75">
      <c r="A98" s="29">
        <f t="shared" si="2"/>
        <v>46680</v>
      </c>
      <c r="B98" s="86">
        <f>IF('CALCULADORA TIV V-1'!$F$10="Contractual",ROUND('Tabla de Amortizacion'!B99,15),IF('CALCULADORA TIV V-1'!$F$10="6% (Medio)",ROUND('Tabla de Amortizacion'!D99,15),IF('CALCULADORA TIV V-1'!$F$10="10% (Medio Alto)",ROUND('Tabla de Amortizacion'!F99,15),IF('CALCULADORA TIV V-1'!$F$10="14% (Alto)",ROUND('Tabla de Amortizacion'!H99,15),IF('CALCULADORA TIV V-1'!$F$10="20%_",ROUND('Tabla de Amortizacion'!J99,15),ROUND('Tabla de Amortizacion'!L99,15))))))</f>
        <v>0</v>
      </c>
    </row>
    <row r="99" spans="1:2" ht="12.75">
      <c r="A99" s="29">
        <f aca="true" t="shared" si="3" ref="A99:A130">_XLL.FECHA.MES(A98,1)</f>
        <v>46711</v>
      </c>
      <c r="B99" s="86">
        <f>IF('CALCULADORA TIV V-1'!$F$10="Contractual",ROUND('Tabla de Amortizacion'!B100,15),IF('CALCULADORA TIV V-1'!$F$10="6% (Medio)",ROUND('Tabla de Amortizacion'!D100,15),IF('CALCULADORA TIV V-1'!$F$10="10% (Medio Alto)",ROUND('Tabla de Amortizacion'!F100,15),IF('CALCULADORA TIV V-1'!$F$10="14% (Alto)",ROUND('Tabla de Amortizacion'!H100,15),IF('CALCULADORA TIV V-1'!$F$10="20%_",ROUND('Tabla de Amortizacion'!J100,15),ROUND('Tabla de Amortizacion'!L100,15))))))</f>
        <v>0</v>
      </c>
    </row>
    <row r="100" spans="1:2" ht="12.75">
      <c r="A100" s="29">
        <f t="shared" si="3"/>
        <v>46741</v>
      </c>
      <c r="B100" s="86">
        <f>IF('CALCULADORA TIV V-1'!$F$10="Contractual",ROUND('Tabla de Amortizacion'!B101,15),IF('CALCULADORA TIV V-1'!$F$10="6% (Medio)",ROUND('Tabla de Amortizacion'!D101,15),IF('CALCULADORA TIV V-1'!$F$10="10% (Medio Alto)",ROUND('Tabla de Amortizacion'!F101,15),IF('CALCULADORA TIV V-1'!$F$10="14% (Alto)",ROUND('Tabla de Amortizacion'!H101,15),IF('CALCULADORA TIV V-1'!$F$10="20%_",ROUND('Tabla de Amortizacion'!J101,15),ROUND('Tabla de Amortizacion'!L101,15))))))</f>
        <v>0</v>
      </c>
    </row>
    <row r="101" spans="1:2" ht="12.75">
      <c r="A101" s="29">
        <f t="shared" si="3"/>
        <v>46772</v>
      </c>
      <c r="B101" s="86">
        <f>IF('CALCULADORA TIV V-1'!$F$10="Contractual",ROUND('Tabla de Amortizacion'!B102,15),IF('CALCULADORA TIV V-1'!$F$10="6% (Medio)",ROUND('Tabla de Amortizacion'!D102,15),IF('CALCULADORA TIV V-1'!$F$10="10% (Medio Alto)",ROUND('Tabla de Amortizacion'!F102,15),IF('CALCULADORA TIV V-1'!$F$10="14% (Alto)",ROUND('Tabla de Amortizacion'!H102,15),IF('CALCULADORA TIV V-1'!$F$10="20%_",ROUND('Tabla de Amortizacion'!J102,15),ROUND('Tabla de Amortizacion'!L102,15))))))</f>
        <v>0</v>
      </c>
    </row>
    <row r="102" spans="1:2" ht="12.75">
      <c r="A102" s="29">
        <f t="shared" si="3"/>
        <v>46803</v>
      </c>
      <c r="B102" s="86">
        <f>IF('CALCULADORA TIV V-1'!$F$10="Contractual",ROUND('Tabla de Amortizacion'!B103,15),IF('CALCULADORA TIV V-1'!$F$10="6% (Medio)",ROUND('Tabla de Amortizacion'!D103,15),IF('CALCULADORA TIV V-1'!$F$10="10% (Medio Alto)",ROUND('Tabla de Amortizacion'!F103,15),IF('CALCULADORA TIV V-1'!$F$10="14% (Alto)",ROUND('Tabla de Amortizacion'!H103,15),IF('CALCULADORA TIV V-1'!$F$10="20%_",ROUND('Tabla de Amortizacion'!J103,15),ROUND('Tabla de Amortizacion'!L103,15))))))</f>
        <v>0</v>
      </c>
    </row>
    <row r="103" spans="1:2" ht="12.75">
      <c r="A103" s="29">
        <f t="shared" si="3"/>
        <v>46832</v>
      </c>
      <c r="B103" s="86">
        <f>IF('CALCULADORA TIV V-1'!$F$10="Contractual",ROUND('Tabla de Amortizacion'!B104,15),IF('CALCULADORA TIV V-1'!$F$10="6% (Medio)",ROUND('Tabla de Amortizacion'!D104,15),IF('CALCULADORA TIV V-1'!$F$10="10% (Medio Alto)",ROUND('Tabla de Amortizacion'!F104,15),IF('CALCULADORA TIV V-1'!$F$10="14% (Alto)",ROUND('Tabla de Amortizacion'!H104,15),IF('CALCULADORA TIV V-1'!$F$10="20%_",ROUND('Tabla de Amortizacion'!J104,15),ROUND('Tabla de Amortizacion'!L104,15))))))</f>
        <v>0</v>
      </c>
    </row>
    <row r="104" spans="1:2" ht="12.75">
      <c r="A104" s="29">
        <f t="shared" si="3"/>
        <v>46863</v>
      </c>
      <c r="B104" s="86">
        <f>IF('CALCULADORA TIV V-1'!$F$10="Contractual",ROUND('Tabla de Amortizacion'!B105,15),IF('CALCULADORA TIV V-1'!$F$10="6% (Medio)",ROUND('Tabla de Amortizacion'!D105,15),IF('CALCULADORA TIV V-1'!$F$10="10% (Medio Alto)",ROUND('Tabla de Amortizacion'!F105,15),IF('CALCULADORA TIV V-1'!$F$10="14% (Alto)",ROUND('Tabla de Amortizacion'!H105,15),IF('CALCULADORA TIV V-1'!$F$10="20%_",ROUND('Tabla de Amortizacion'!J105,15),ROUND('Tabla de Amortizacion'!L105,15))))))</f>
        <v>0</v>
      </c>
    </row>
    <row r="105" spans="1:2" ht="12.75">
      <c r="A105" s="29">
        <f t="shared" si="3"/>
        <v>46893</v>
      </c>
      <c r="B105" s="86">
        <f>IF('CALCULADORA TIV V-1'!$F$10="Contractual",ROUND('Tabla de Amortizacion'!B106,15),IF('CALCULADORA TIV V-1'!$F$10="6% (Medio)",ROUND('Tabla de Amortizacion'!D106,15),IF('CALCULADORA TIV V-1'!$F$10="10% (Medio Alto)",ROUND('Tabla de Amortizacion'!F106,15),IF('CALCULADORA TIV V-1'!$F$10="14% (Alto)",ROUND('Tabla de Amortizacion'!H106,15),IF('CALCULADORA TIV V-1'!$F$10="20%_",ROUND('Tabla de Amortizacion'!J106,15),ROUND('Tabla de Amortizacion'!L106,15))))))</f>
        <v>0</v>
      </c>
    </row>
    <row r="106" spans="1:2" ht="12.75">
      <c r="A106" s="29">
        <f t="shared" si="3"/>
        <v>46924</v>
      </c>
      <c r="B106" s="86">
        <f>IF('CALCULADORA TIV V-1'!$F$10="Contractual",ROUND('Tabla de Amortizacion'!B107,15),IF('CALCULADORA TIV V-1'!$F$10="6% (Medio)",ROUND('Tabla de Amortizacion'!D107,15),IF('CALCULADORA TIV V-1'!$F$10="10% (Medio Alto)",ROUND('Tabla de Amortizacion'!F107,15),IF('CALCULADORA TIV V-1'!$F$10="14% (Alto)",ROUND('Tabla de Amortizacion'!H107,15),IF('CALCULADORA TIV V-1'!$F$10="20%_",ROUND('Tabla de Amortizacion'!J107,15),ROUND('Tabla de Amortizacion'!L107,15))))))</f>
        <v>0</v>
      </c>
    </row>
    <row r="107" spans="1:2" ht="12.75">
      <c r="A107" s="29">
        <f t="shared" si="3"/>
        <v>46954</v>
      </c>
      <c r="B107" s="86">
        <f>IF('CALCULADORA TIV V-1'!$F$10="Contractual",ROUND('Tabla de Amortizacion'!B108,15),IF('CALCULADORA TIV V-1'!$F$10="6% (Medio)",ROUND('Tabla de Amortizacion'!D108,15),IF('CALCULADORA TIV V-1'!$F$10="10% (Medio Alto)",ROUND('Tabla de Amortizacion'!F108,15),IF('CALCULADORA TIV V-1'!$F$10="14% (Alto)",ROUND('Tabla de Amortizacion'!H108,15),IF('CALCULADORA TIV V-1'!$F$10="20%_",ROUND('Tabla de Amortizacion'!J108,15),ROUND('Tabla de Amortizacion'!L108,15))))))</f>
        <v>0</v>
      </c>
    </row>
    <row r="108" spans="1:2" ht="12.75">
      <c r="A108" s="29">
        <f t="shared" si="3"/>
        <v>46985</v>
      </c>
      <c r="B108" s="86">
        <f>IF('CALCULADORA TIV V-1'!$F$10="Contractual",ROUND('Tabla de Amortizacion'!B109,15),IF('CALCULADORA TIV V-1'!$F$10="6% (Medio)",ROUND('Tabla de Amortizacion'!D109,15),IF('CALCULADORA TIV V-1'!$F$10="10% (Medio Alto)",ROUND('Tabla de Amortizacion'!F109,15),IF('CALCULADORA TIV V-1'!$F$10="14% (Alto)",ROUND('Tabla de Amortizacion'!H109,15),IF('CALCULADORA TIV V-1'!$F$10="20%_",ROUND('Tabla de Amortizacion'!J109,15),ROUND('Tabla de Amortizacion'!L109,15))))))</f>
        <v>0</v>
      </c>
    </row>
    <row r="109" spans="1:2" ht="12.75">
      <c r="A109" s="29">
        <f t="shared" si="3"/>
        <v>47016</v>
      </c>
      <c r="B109" s="86">
        <f>IF('CALCULADORA TIV V-1'!$F$10="Contractual",ROUND('Tabla de Amortizacion'!B110,15),IF('CALCULADORA TIV V-1'!$F$10="6% (Medio)",ROUND('Tabla de Amortizacion'!D110,15),IF('CALCULADORA TIV V-1'!$F$10="10% (Medio Alto)",ROUND('Tabla de Amortizacion'!F110,15),IF('CALCULADORA TIV V-1'!$F$10="14% (Alto)",ROUND('Tabla de Amortizacion'!H110,15),IF('CALCULADORA TIV V-1'!$F$10="20%_",ROUND('Tabla de Amortizacion'!J110,15),ROUND('Tabla de Amortizacion'!L110,15))))))</f>
        <v>0</v>
      </c>
    </row>
    <row r="110" spans="1:2" ht="12.75">
      <c r="A110" s="29">
        <f t="shared" si="3"/>
        <v>47046</v>
      </c>
      <c r="B110" s="86">
        <f>IF('CALCULADORA TIV V-1'!$F$10="Contractual",ROUND('Tabla de Amortizacion'!B111,15),IF('CALCULADORA TIV V-1'!$F$10="6% (Medio)",ROUND('Tabla de Amortizacion'!D111,15),IF('CALCULADORA TIV V-1'!$F$10="10% (Medio Alto)",ROUND('Tabla de Amortizacion'!F111,15),IF('CALCULADORA TIV V-1'!$F$10="14% (Alto)",ROUND('Tabla de Amortizacion'!H111,15),IF('CALCULADORA TIV V-1'!$F$10="20%_",ROUND('Tabla de Amortizacion'!J111,15),ROUND('Tabla de Amortizacion'!L111,15))))))</f>
        <v>0</v>
      </c>
    </row>
    <row r="111" spans="1:2" ht="12.75">
      <c r="A111" s="29">
        <f t="shared" si="3"/>
        <v>47077</v>
      </c>
      <c r="B111" s="86">
        <f>IF('CALCULADORA TIV V-1'!$F$10="Contractual",ROUND('Tabla de Amortizacion'!B112,15),IF('CALCULADORA TIV V-1'!$F$10="6% (Medio)",ROUND('Tabla de Amortizacion'!D112,15),IF('CALCULADORA TIV V-1'!$F$10="10% (Medio Alto)",ROUND('Tabla de Amortizacion'!F112,15),IF('CALCULADORA TIV V-1'!$F$10="14% (Alto)",ROUND('Tabla de Amortizacion'!H112,15),IF('CALCULADORA TIV V-1'!$F$10="20%_",ROUND('Tabla de Amortizacion'!J112,15),ROUND('Tabla de Amortizacion'!L112,15))))))</f>
        <v>0</v>
      </c>
    </row>
    <row r="112" spans="1:2" ht="12.75">
      <c r="A112" s="29">
        <f t="shared" si="3"/>
        <v>47107</v>
      </c>
      <c r="B112" s="86">
        <f>IF('CALCULADORA TIV V-1'!$F$10="Contractual",ROUND('Tabla de Amortizacion'!B113,15),IF('CALCULADORA TIV V-1'!$F$10="6% (Medio)",ROUND('Tabla de Amortizacion'!D113,15),IF('CALCULADORA TIV V-1'!$F$10="10% (Medio Alto)",ROUND('Tabla de Amortizacion'!F113,15),IF('CALCULADORA TIV V-1'!$F$10="14% (Alto)",ROUND('Tabla de Amortizacion'!H113,15),IF('CALCULADORA TIV V-1'!$F$10="20%_",ROUND('Tabla de Amortizacion'!J113,15),ROUND('Tabla de Amortizacion'!L113,15))))))</f>
        <v>0</v>
      </c>
    </row>
    <row r="113" spans="1:2" ht="12.75">
      <c r="A113" s="29">
        <f t="shared" si="3"/>
        <v>47138</v>
      </c>
      <c r="B113" s="86">
        <f>IF('CALCULADORA TIV V-1'!$F$10="Contractual",ROUND('Tabla de Amortizacion'!B114,15),IF('CALCULADORA TIV V-1'!$F$10="6% (Medio)",ROUND('Tabla de Amortizacion'!D114,15),IF('CALCULADORA TIV V-1'!$F$10="10% (Medio Alto)",ROUND('Tabla de Amortizacion'!F114,15),IF('CALCULADORA TIV V-1'!$F$10="14% (Alto)",ROUND('Tabla de Amortizacion'!H114,15),IF('CALCULADORA TIV V-1'!$F$10="20%_",ROUND('Tabla de Amortizacion'!J114,15),ROUND('Tabla de Amortizacion'!L114,15))))))</f>
        <v>0</v>
      </c>
    </row>
    <row r="114" spans="1:2" ht="12.75">
      <c r="A114" s="29">
        <f t="shared" si="3"/>
        <v>47169</v>
      </c>
      <c r="B114" s="86">
        <f>IF('CALCULADORA TIV V-1'!$F$10="Contractual",ROUND('Tabla de Amortizacion'!B115,15),IF('CALCULADORA TIV V-1'!$F$10="6% (Medio)",ROUND('Tabla de Amortizacion'!D115,15),IF('CALCULADORA TIV V-1'!$F$10="10% (Medio Alto)",ROUND('Tabla de Amortizacion'!F115,15),IF('CALCULADORA TIV V-1'!$F$10="14% (Alto)",ROUND('Tabla de Amortizacion'!H115,15),IF('CALCULADORA TIV V-1'!$F$10="20%_",ROUND('Tabla de Amortizacion'!J115,15),ROUND('Tabla de Amortizacion'!L115,15))))))</f>
        <v>0</v>
      </c>
    </row>
    <row r="115" spans="1:2" ht="12.75">
      <c r="A115" s="29">
        <f t="shared" si="3"/>
        <v>47197</v>
      </c>
      <c r="B115" s="86">
        <f>IF('CALCULADORA TIV V-1'!$F$10="Contractual",ROUND('Tabla de Amortizacion'!B116,15),IF('CALCULADORA TIV V-1'!$F$10="6% (Medio)",ROUND('Tabla de Amortizacion'!D116,15),IF('CALCULADORA TIV V-1'!$F$10="10% (Medio Alto)",ROUND('Tabla de Amortizacion'!F116,15),IF('CALCULADORA TIV V-1'!$F$10="14% (Alto)",ROUND('Tabla de Amortizacion'!H116,15),IF('CALCULADORA TIV V-1'!$F$10="20%_",ROUND('Tabla de Amortizacion'!J116,15),ROUND('Tabla de Amortizacion'!L116,15))))))</f>
        <v>0</v>
      </c>
    </row>
    <row r="116" spans="1:2" ht="12.75">
      <c r="A116" s="29">
        <f t="shared" si="3"/>
        <v>47228</v>
      </c>
      <c r="B116" s="86">
        <f>IF('CALCULADORA TIV V-1'!$F$10="Contractual",ROUND('Tabla de Amortizacion'!B117,15),IF('CALCULADORA TIV V-1'!$F$10="6% (Medio)",ROUND('Tabla de Amortizacion'!D117,15),IF('CALCULADORA TIV V-1'!$F$10="10% (Medio Alto)",ROUND('Tabla de Amortizacion'!F117,15),IF('CALCULADORA TIV V-1'!$F$10="14% (Alto)",ROUND('Tabla de Amortizacion'!H117,15),IF('CALCULADORA TIV V-1'!$F$10="20%_",ROUND('Tabla de Amortizacion'!J117,15),ROUND('Tabla de Amortizacion'!L117,15))))))</f>
        <v>0</v>
      </c>
    </row>
    <row r="117" spans="1:2" ht="12.75">
      <c r="A117" s="29">
        <f t="shared" si="3"/>
        <v>47258</v>
      </c>
      <c r="B117" s="86">
        <f>IF('CALCULADORA TIV V-1'!$F$10="Contractual",ROUND('Tabla de Amortizacion'!B118,15),IF('CALCULADORA TIV V-1'!$F$10="6% (Medio)",ROUND('Tabla de Amortizacion'!D118,15),IF('CALCULADORA TIV V-1'!$F$10="10% (Medio Alto)",ROUND('Tabla de Amortizacion'!F118,15),IF('CALCULADORA TIV V-1'!$F$10="14% (Alto)",ROUND('Tabla de Amortizacion'!H118,15),IF('CALCULADORA TIV V-1'!$F$10="20%_",ROUND('Tabla de Amortizacion'!J118,15),ROUND('Tabla de Amortizacion'!L118,15))))))</f>
        <v>0</v>
      </c>
    </row>
    <row r="118" spans="1:2" ht="12.75">
      <c r="A118" s="29">
        <f t="shared" si="3"/>
        <v>47289</v>
      </c>
      <c r="B118" s="86">
        <f>IF('CALCULADORA TIV V-1'!$F$10="Contractual",ROUND('Tabla de Amortizacion'!B119,15),IF('CALCULADORA TIV V-1'!$F$10="6% (Medio)",ROUND('Tabla de Amortizacion'!D119,15),IF('CALCULADORA TIV V-1'!$F$10="10% (Medio Alto)",ROUND('Tabla de Amortizacion'!F119,15),IF('CALCULADORA TIV V-1'!$F$10="14% (Alto)",ROUND('Tabla de Amortizacion'!H119,15),IF('CALCULADORA TIV V-1'!$F$10="20%_",ROUND('Tabla de Amortizacion'!J119,15),ROUND('Tabla de Amortizacion'!L119,15))))))</f>
        <v>0</v>
      </c>
    </row>
    <row r="119" spans="1:2" ht="12.75">
      <c r="A119" s="29">
        <f t="shared" si="3"/>
        <v>47319</v>
      </c>
      <c r="B119" s="86">
        <f>IF('CALCULADORA TIV V-1'!$F$10="Contractual",ROUND('Tabla de Amortizacion'!B120,15),IF('CALCULADORA TIV V-1'!$F$10="6% (Medio)",ROUND('Tabla de Amortizacion'!D120,15),IF('CALCULADORA TIV V-1'!$F$10="10% (Medio Alto)",ROUND('Tabla de Amortizacion'!F120,15),IF('CALCULADORA TIV V-1'!$F$10="14% (Alto)",ROUND('Tabla de Amortizacion'!H120,15),IF('CALCULADORA TIV V-1'!$F$10="20%_",ROUND('Tabla de Amortizacion'!J120,15),ROUND('Tabla de Amortizacion'!L120,15))))))</f>
        <v>0</v>
      </c>
    </row>
    <row r="120" spans="1:2" ht="12.75">
      <c r="A120" s="29">
        <f t="shared" si="3"/>
        <v>47350</v>
      </c>
      <c r="B120" s="86">
        <f>IF('CALCULADORA TIV V-1'!$F$10="Contractual",ROUND('Tabla de Amortizacion'!B121,15),IF('CALCULADORA TIV V-1'!$F$10="6% (Medio)",ROUND('Tabla de Amortizacion'!D121,15),IF('CALCULADORA TIV V-1'!$F$10="10% (Medio Alto)",ROUND('Tabla de Amortizacion'!F121,15),IF('CALCULADORA TIV V-1'!$F$10="14% (Alto)",ROUND('Tabla de Amortizacion'!H121,15),IF('CALCULADORA TIV V-1'!$F$10="20%_",ROUND('Tabla de Amortizacion'!J121,15),ROUND('Tabla de Amortizacion'!L121,15))))))</f>
        <v>0</v>
      </c>
    </row>
    <row r="121" spans="1:2" ht="12.75">
      <c r="A121" s="29">
        <f t="shared" si="3"/>
        <v>47381</v>
      </c>
      <c r="B121" s="86">
        <f>IF('CALCULADORA TIV V-1'!$F$10="Contractual",ROUND('Tabla de Amortizacion'!B122,15),IF('CALCULADORA TIV V-1'!$F$10="6% (Medio)",ROUND('Tabla de Amortizacion'!D122,15),IF('CALCULADORA TIV V-1'!$F$10="10% (Medio Alto)",ROUND('Tabla de Amortizacion'!F122,15),IF('CALCULADORA TIV V-1'!$F$10="14% (Alto)",ROUND('Tabla de Amortizacion'!H122,15),IF('CALCULADORA TIV V-1'!$F$10="20%_",ROUND('Tabla de Amortizacion'!J122,15),ROUND('Tabla de Amortizacion'!L122,15))))))</f>
        <v>0</v>
      </c>
    </row>
    <row r="122" spans="1:2" ht="12.75">
      <c r="A122" s="29">
        <f t="shared" si="3"/>
        <v>47411</v>
      </c>
      <c r="B122" s="86">
        <f>IF('CALCULADORA TIV V-1'!$F$10="Contractual",ROUND('Tabla de Amortizacion'!B123,15),IF('CALCULADORA TIV V-1'!$F$10="6% (Medio)",ROUND('Tabla de Amortizacion'!D123,15),IF('CALCULADORA TIV V-1'!$F$10="10% (Medio Alto)",ROUND('Tabla de Amortizacion'!F123,15),IF('CALCULADORA TIV V-1'!$F$10="14% (Alto)",ROUND('Tabla de Amortizacion'!H123,15),IF('CALCULADORA TIV V-1'!$F$10="20%_",ROUND('Tabla de Amortizacion'!J123,15),ROUND('Tabla de Amortizacion'!L123,15))))))</f>
        <v>0</v>
      </c>
    </row>
    <row r="123" spans="1:2" ht="12.75">
      <c r="A123" s="29">
        <f t="shared" si="3"/>
        <v>47442</v>
      </c>
      <c r="B123" s="86">
        <f>IF('CALCULADORA TIV V-1'!$F$10="Contractual",ROUND('Tabla de Amortizacion'!B124,15),IF('CALCULADORA TIV V-1'!$F$10="6% (Medio)",ROUND('Tabla de Amortizacion'!D124,15),IF('CALCULADORA TIV V-1'!$F$10="10% (Medio Alto)",ROUND('Tabla de Amortizacion'!F124,15),IF('CALCULADORA TIV V-1'!$F$10="14% (Alto)",ROUND('Tabla de Amortizacion'!H124,15),IF('CALCULADORA TIV V-1'!$F$10="20%_",ROUND('Tabla de Amortizacion'!J124,15),ROUND('Tabla de Amortizacion'!L124,15))))))</f>
        <v>0</v>
      </c>
    </row>
    <row r="124" spans="1:2" ht="12.75">
      <c r="A124" s="29">
        <f t="shared" si="3"/>
        <v>47472</v>
      </c>
      <c r="B124" s="86">
        <f>IF('CALCULADORA TIV V-1'!$F$10="Contractual",ROUND('Tabla de Amortizacion'!B125,15),IF('CALCULADORA TIV V-1'!$F$10="6% (Medio)",ROUND('Tabla de Amortizacion'!D125,15),IF('CALCULADORA TIV V-1'!$F$10="10% (Medio Alto)",ROUND('Tabla de Amortizacion'!F125,15),IF('CALCULADORA TIV V-1'!$F$10="14% (Alto)",ROUND('Tabla de Amortizacion'!H125,15),IF('CALCULADORA TIV V-1'!$F$10="20%_",ROUND('Tabla de Amortizacion'!J125,15),ROUND('Tabla de Amortizacion'!L125,15))))))</f>
        <v>0</v>
      </c>
    </row>
    <row r="125" spans="1:2" ht="12.75">
      <c r="A125" s="29">
        <f t="shared" si="3"/>
        <v>47503</v>
      </c>
      <c r="B125" s="86">
        <f>IF('CALCULADORA TIV V-1'!$F$10="Contractual",ROUND('Tabla de Amortizacion'!B126,15),IF('CALCULADORA TIV V-1'!$F$10="6% (Medio)",ROUND('Tabla de Amortizacion'!D126,15),IF('CALCULADORA TIV V-1'!$F$10="10% (Medio Alto)",ROUND('Tabla de Amortizacion'!F126,15),IF('CALCULADORA TIV V-1'!$F$10="14% (Alto)",ROUND('Tabla de Amortizacion'!H126,15),IF('CALCULADORA TIV V-1'!$F$10="20%_",ROUND('Tabla de Amortizacion'!J126,15),ROUND('Tabla de Amortizacion'!L126,15))))))</f>
        <v>0</v>
      </c>
    </row>
    <row r="126" spans="1:2" ht="12.75">
      <c r="A126" s="29">
        <f t="shared" si="3"/>
        <v>47534</v>
      </c>
      <c r="B126" s="86">
        <f>IF('CALCULADORA TIV V-1'!$F$10="Contractual",ROUND('Tabla de Amortizacion'!B127,15),IF('CALCULADORA TIV V-1'!$F$10="6% (Medio)",ROUND('Tabla de Amortizacion'!D127,15),IF('CALCULADORA TIV V-1'!$F$10="10% (Medio Alto)",ROUND('Tabla de Amortizacion'!F127,15),IF('CALCULADORA TIV V-1'!$F$10="14% (Alto)",ROUND('Tabla de Amortizacion'!H127,15),IF('CALCULADORA TIV V-1'!$F$10="20%_",ROUND('Tabla de Amortizacion'!J127,15),ROUND('Tabla de Amortizacion'!L127,15))))))</f>
        <v>0</v>
      </c>
    </row>
    <row r="127" spans="1:2" ht="12.75">
      <c r="A127" s="29">
        <f t="shared" si="3"/>
        <v>47562</v>
      </c>
      <c r="B127" s="86">
        <f>IF('CALCULADORA TIV V-1'!$F$10="Contractual",ROUND('Tabla de Amortizacion'!B128,15),IF('CALCULADORA TIV V-1'!$F$10="6% (Medio)",ROUND('Tabla de Amortizacion'!D128,15),IF('CALCULADORA TIV V-1'!$F$10="10% (Medio Alto)",ROUND('Tabla de Amortizacion'!F128,15),IF('CALCULADORA TIV V-1'!$F$10="14% (Alto)",ROUND('Tabla de Amortizacion'!H128,15),IF('CALCULADORA TIV V-1'!$F$10="20%_",ROUND('Tabla de Amortizacion'!J128,15),ROUND('Tabla de Amortizacion'!L128,15))))))</f>
        <v>0</v>
      </c>
    </row>
    <row r="128" spans="1:2" ht="12.75">
      <c r="A128" s="29">
        <f t="shared" si="3"/>
        <v>47593</v>
      </c>
      <c r="B128" s="86">
        <f>IF('CALCULADORA TIV V-1'!$F$10="Contractual",ROUND('Tabla de Amortizacion'!B129,15),IF('CALCULADORA TIV V-1'!$F$10="6% (Medio)",ROUND('Tabla de Amortizacion'!D129,15),IF('CALCULADORA TIV V-1'!$F$10="10% (Medio Alto)",ROUND('Tabla de Amortizacion'!F129,15),IF('CALCULADORA TIV V-1'!$F$10="14% (Alto)",ROUND('Tabla de Amortizacion'!H129,15),IF('CALCULADORA TIV V-1'!$F$10="20%_",ROUND('Tabla de Amortizacion'!J129,15),ROUND('Tabla de Amortizacion'!L129,15))))))</f>
        <v>0</v>
      </c>
    </row>
    <row r="129" spans="1:2" ht="12.75">
      <c r="A129" s="29">
        <f t="shared" si="3"/>
        <v>47623</v>
      </c>
      <c r="B129" s="86">
        <f>IF('CALCULADORA TIV V-1'!$F$10="Contractual",ROUND('Tabla de Amortizacion'!B130,15),IF('CALCULADORA TIV V-1'!$F$10="6% (Medio)",ROUND('Tabla de Amortizacion'!D130,15),IF('CALCULADORA TIV V-1'!$F$10="10% (Medio Alto)",ROUND('Tabla de Amortizacion'!F130,15),IF('CALCULADORA TIV V-1'!$F$10="14% (Alto)",ROUND('Tabla de Amortizacion'!H130,15),IF('CALCULADORA TIV V-1'!$F$10="20%_",ROUND('Tabla de Amortizacion'!J130,15),ROUND('Tabla de Amortizacion'!L130,15))))))</f>
        <v>0</v>
      </c>
    </row>
    <row r="130" spans="1:2" ht="12.75">
      <c r="A130" s="29">
        <f t="shared" si="3"/>
        <v>47654</v>
      </c>
      <c r="B130" s="86">
        <f>IF('CALCULADORA TIV V-1'!$F$10="Contractual",ROUND('Tabla de Amortizacion'!B131,15),IF('CALCULADORA TIV V-1'!$F$10="6% (Medio)",ROUND('Tabla de Amortizacion'!D131,15),IF('CALCULADORA TIV V-1'!$F$10="10% (Medio Alto)",ROUND('Tabla de Amortizacion'!F131,15),IF('CALCULADORA TIV V-1'!$F$10="14% (Alto)",ROUND('Tabla de Amortizacion'!H131,15),IF('CALCULADORA TIV V-1'!$F$10="20%_",ROUND('Tabla de Amortizacion'!J131,15),ROUND('Tabla de Amortizacion'!L131,15))))))</f>
        <v>0</v>
      </c>
    </row>
    <row r="131" spans="1:2" ht="12.75">
      <c r="A131" s="29">
        <f aca="true" t="shared" si="4" ref="A131:A162">_XLL.FECHA.MES(A130,1)</f>
        <v>47684</v>
      </c>
      <c r="B131" s="86">
        <f>IF('CALCULADORA TIV V-1'!$F$10="Contractual",ROUND('Tabla de Amortizacion'!B132,15),IF('CALCULADORA TIV V-1'!$F$10="6% (Medio)",ROUND('Tabla de Amortizacion'!D132,15),IF('CALCULADORA TIV V-1'!$F$10="10% (Medio Alto)",ROUND('Tabla de Amortizacion'!F132,15),IF('CALCULADORA TIV V-1'!$F$10="14% (Alto)",ROUND('Tabla de Amortizacion'!H132,15),IF('CALCULADORA TIV V-1'!$F$10="20%_",ROUND('Tabla de Amortizacion'!J132,15),ROUND('Tabla de Amortizacion'!L132,15))))))</f>
        <v>0</v>
      </c>
    </row>
    <row r="132" spans="1:2" ht="12.75">
      <c r="A132" s="29">
        <f t="shared" si="4"/>
        <v>47715</v>
      </c>
      <c r="B132" s="86">
        <f>IF('CALCULADORA TIV V-1'!$F$10="Contractual",ROUND('Tabla de Amortizacion'!B133,15),IF('CALCULADORA TIV V-1'!$F$10="6% (Medio)",ROUND('Tabla de Amortizacion'!D133,15),IF('CALCULADORA TIV V-1'!$F$10="10% (Medio Alto)",ROUND('Tabla de Amortizacion'!F133,15),IF('CALCULADORA TIV V-1'!$F$10="14% (Alto)",ROUND('Tabla de Amortizacion'!H133,15),IF('CALCULADORA TIV V-1'!$F$10="20%_",ROUND('Tabla de Amortizacion'!J133,15),ROUND('Tabla de Amortizacion'!L133,15))))))</f>
        <v>0</v>
      </c>
    </row>
    <row r="133" spans="1:2" ht="12.75">
      <c r="A133" s="29">
        <f t="shared" si="4"/>
        <v>47746</v>
      </c>
      <c r="B133" s="86">
        <f>IF('CALCULADORA TIV V-1'!$F$10="Contractual",ROUND('Tabla de Amortizacion'!B134,15),IF('CALCULADORA TIV V-1'!$F$10="6% (Medio)",ROUND('Tabla de Amortizacion'!D134,15),IF('CALCULADORA TIV V-1'!$F$10="10% (Medio Alto)",ROUND('Tabla de Amortizacion'!F134,15),IF('CALCULADORA TIV V-1'!$F$10="14% (Alto)",ROUND('Tabla de Amortizacion'!H134,15),IF('CALCULADORA TIV V-1'!$F$10="20%_",ROUND('Tabla de Amortizacion'!J134,15),ROUND('Tabla de Amortizacion'!L134,15))))))</f>
        <v>0</v>
      </c>
    </row>
    <row r="134" spans="1:2" ht="12.75">
      <c r="A134" s="29">
        <f t="shared" si="4"/>
        <v>47776</v>
      </c>
      <c r="B134" s="86">
        <f>IF('CALCULADORA TIV V-1'!$F$10="Contractual",ROUND('Tabla de Amortizacion'!B135,15),IF('CALCULADORA TIV V-1'!$F$10="6% (Medio)",ROUND('Tabla de Amortizacion'!D135,15),IF('CALCULADORA TIV V-1'!$F$10="10% (Medio Alto)",ROUND('Tabla de Amortizacion'!F135,15),IF('CALCULADORA TIV V-1'!$F$10="14% (Alto)",ROUND('Tabla de Amortizacion'!H135,15),IF('CALCULADORA TIV V-1'!$F$10="20%_",ROUND('Tabla de Amortizacion'!J135,15),ROUND('Tabla de Amortizacion'!L135,15))))))</f>
        <v>0</v>
      </c>
    </row>
    <row r="135" spans="1:2" ht="12.75">
      <c r="A135" s="29">
        <f t="shared" si="4"/>
        <v>47807</v>
      </c>
      <c r="B135" s="86">
        <f>IF('CALCULADORA TIV V-1'!$F$10="Contractual",ROUND('Tabla de Amortizacion'!B136,15),IF('CALCULADORA TIV V-1'!$F$10="6% (Medio)",ROUND('Tabla de Amortizacion'!D136,15),IF('CALCULADORA TIV V-1'!$F$10="10% (Medio Alto)",ROUND('Tabla de Amortizacion'!F136,15),IF('CALCULADORA TIV V-1'!$F$10="14% (Alto)",ROUND('Tabla de Amortizacion'!H136,15),IF('CALCULADORA TIV V-1'!$F$10="20%_",ROUND('Tabla de Amortizacion'!J136,15),ROUND('Tabla de Amortizacion'!L136,15))))))</f>
        <v>0</v>
      </c>
    </row>
    <row r="136" spans="1:2" ht="12.75">
      <c r="A136" s="29">
        <f t="shared" si="4"/>
        <v>47837</v>
      </c>
      <c r="B136" s="86">
        <f>IF('CALCULADORA TIV V-1'!$F$10="Contractual",ROUND('Tabla de Amortizacion'!B137,15),IF('CALCULADORA TIV V-1'!$F$10="6% (Medio)",ROUND('Tabla de Amortizacion'!D137,15),IF('CALCULADORA TIV V-1'!$F$10="10% (Medio Alto)",ROUND('Tabla de Amortizacion'!F137,15),IF('CALCULADORA TIV V-1'!$F$10="14% (Alto)",ROUND('Tabla de Amortizacion'!H137,15),IF('CALCULADORA TIV V-1'!$F$10="20%_",ROUND('Tabla de Amortizacion'!J137,15),ROUND('Tabla de Amortizacion'!L137,15))))))</f>
        <v>0</v>
      </c>
    </row>
    <row r="137" spans="1:2" ht="12.75">
      <c r="A137" s="29">
        <f t="shared" si="4"/>
        <v>47868</v>
      </c>
      <c r="B137" s="86">
        <f>IF('CALCULADORA TIV V-1'!$F$10="Contractual",ROUND('Tabla de Amortizacion'!B138,15),IF('CALCULADORA TIV V-1'!$F$10="6% (Medio)",ROUND('Tabla de Amortizacion'!D138,15),IF('CALCULADORA TIV V-1'!$F$10="10% (Medio Alto)",ROUND('Tabla de Amortizacion'!F138,15),IF('CALCULADORA TIV V-1'!$F$10="14% (Alto)",ROUND('Tabla de Amortizacion'!H138,15),IF('CALCULADORA TIV V-1'!$F$10="20%_",ROUND('Tabla de Amortizacion'!J138,15),ROUND('Tabla de Amortizacion'!L138,15))))))</f>
        <v>0</v>
      </c>
    </row>
    <row r="138" spans="1:2" ht="12.75">
      <c r="A138" s="29">
        <f t="shared" si="4"/>
        <v>47899</v>
      </c>
      <c r="B138" s="86">
        <f>IF('CALCULADORA TIV V-1'!$F$10="Contractual",ROUND('Tabla de Amortizacion'!B139,15),IF('CALCULADORA TIV V-1'!$F$10="6% (Medio)",ROUND('Tabla de Amortizacion'!D139,15),IF('CALCULADORA TIV V-1'!$F$10="10% (Medio Alto)",ROUND('Tabla de Amortizacion'!F139,15),IF('CALCULADORA TIV V-1'!$F$10="14% (Alto)",ROUND('Tabla de Amortizacion'!H139,15),IF('CALCULADORA TIV V-1'!$F$10="20%_",ROUND('Tabla de Amortizacion'!J139,15),ROUND('Tabla de Amortizacion'!L139,15))))))</f>
        <v>0</v>
      </c>
    </row>
    <row r="139" spans="1:2" ht="12.75">
      <c r="A139" s="29">
        <f t="shared" si="4"/>
        <v>47927</v>
      </c>
      <c r="B139" s="86">
        <f>IF('CALCULADORA TIV V-1'!$F$10="Contractual",ROUND('Tabla de Amortizacion'!B140,15),IF('CALCULADORA TIV V-1'!$F$10="6% (Medio)",ROUND('Tabla de Amortizacion'!D140,15),IF('CALCULADORA TIV V-1'!$F$10="10% (Medio Alto)",ROUND('Tabla de Amortizacion'!F140,15),IF('CALCULADORA TIV V-1'!$F$10="14% (Alto)",ROUND('Tabla de Amortizacion'!H140,15),IF('CALCULADORA TIV V-1'!$F$10="20%_",ROUND('Tabla de Amortizacion'!J140,15),ROUND('Tabla de Amortizacion'!L140,15))))))</f>
        <v>0</v>
      </c>
    </row>
    <row r="140" spans="1:2" ht="12.75">
      <c r="A140" s="29">
        <f t="shared" si="4"/>
        <v>47958</v>
      </c>
      <c r="B140" s="86">
        <f>IF('CALCULADORA TIV V-1'!$F$10="Contractual",ROUND('Tabla de Amortizacion'!B141,15),IF('CALCULADORA TIV V-1'!$F$10="6% (Medio)",ROUND('Tabla de Amortizacion'!D141,15),IF('CALCULADORA TIV V-1'!$F$10="10% (Medio Alto)",ROUND('Tabla de Amortizacion'!F141,15),IF('CALCULADORA TIV V-1'!$F$10="14% (Alto)",ROUND('Tabla de Amortizacion'!H141,15),IF('CALCULADORA TIV V-1'!$F$10="20%_",ROUND('Tabla de Amortizacion'!J141,15),ROUND('Tabla de Amortizacion'!L141,15))))))</f>
        <v>0</v>
      </c>
    </row>
    <row r="141" spans="1:2" ht="12.75">
      <c r="A141" s="29">
        <f t="shared" si="4"/>
        <v>47988</v>
      </c>
      <c r="B141" s="86">
        <f>IF('CALCULADORA TIV V-1'!$F$10="Contractual",ROUND('Tabla de Amortizacion'!B142,15),IF('CALCULADORA TIV V-1'!$F$10="6% (Medio)",ROUND('Tabla de Amortizacion'!D142,15),IF('CALCULADORA TIV V-1'!$F$10="10% (Medio Alto)",ROUND('Tabla de Amortizacion'!F142,15),IF('CALCULADORA TIV V-1'!$F$10="14% (Alto)",ROUND('Tabla de Amortizacion'!H142,15),IF('CALCULADORA TIV V-1'!$F$10="20%_",ROUND('Tabla de Amortizacion'!J142,15),ROUND('Tabla de Amortizacion'!L142,15))))))</f>
        <v>0</v>
      </c>
    </row>
    <row r="142" spans="1:2" ht="12.75">
      <c r="A142" s="29">
        <f t="shared" si="4"/>
        <v>48019</v>
      </c>
      <c r="B142" s="86">
        <f>IF('CALCULADORA TIV V-1'!$F$10="Contractual",ROUND('Tabla de Amortizacion'!B143,15),IF('CALCULADORA TIV V-1'!$F$10="6% (Medio)",ROUND('Tabla de Amortizacion'!D143,15),IF('CALCULADORA TIV V-1'!$F$10="10% (Medio Alto)",ROUND('Tabla de Amortizacion'!F143,15),IF('CALCULADORA TIV V-1'!$F$10="14% (Alto)",ROUND('Tabla de Amortizacion'!H143,15),IF('CALCULADORA TIV V-1'!$F$10="20%_",ROUND('Tabla de Amortizacion'!J143,15),ROUND('Tabla de Amortizacion'!L143,15))))))</f>
        <v>0</v>
      </c>
    </row>
    <row r="143" spans="1:2" ht="12.75">
      <c r="A143" s="29">
        <f t="shared" si="4"/>
        <v>48049</v>
      </c>
      <c r="B143" s="86">
        <f>IF('CALCULADORA TIV V-1'!$F$10="Contractual",ROUND('Tabla de Amortizacion'!B144,15),IF('CALCULADORA TIV V-1'!$F$10="6% (Medio)",ROUND('Tabla de Amortizacion'!D144,15),IF('CALCULADORA TIV V-1'!$F$10="10% (Medio Alto)",ROUND('Tabla de Amortizacion'!F144,15),IF('CALCULADORA TIV V-1'!$F$10="14% (Alto)",ROUND('Tabla de Amortizacion'!H144,15),IF('CALCULADORA TIV V-1'!$F$10="20%_",ROUND('Tabla de Amortizacion'!J144,15),ROUND('Tabla de Amortizacion'!L144,15))))))</f>
        <v>0</v>
      </c>
    </row>
    <row r="144" spans="1:2" ht="12.75">
      <c r="A144" s="29">
        <f t="shared" si="4"/>
        <v>48080</v>
      </c>
      <c r="B144" s="86">
        <f>IF('CALCULADORA TIV V-1'!$F$10="Contractual",ROUND('Tabla de Amortizacion'!B145,15),IF('CALCULADORA TIV V-1'!$F$10="6% (Medio)",ROUND('Tabla de Amortizacion'!D145,15),IF('CALCULADORA TIV V-1'!$F$10="10% (Medio Alto)",ROUND('Tabla de Amortizacion'!F145,15),IF('CALCULADORA TIV V-1'!$F$10="14% (Alto)",ROUND('Tabla de Amortizacion'!H145,15),IF('CALCULADORA TIV V-1'!$F$10="20%_",ROUND('Tabla de Amortizacion'!J145,15),ROUND('Tabla de Amortizacion'!L145,15))))))</f>
        <v>0</v>
      </c>
    </row>
    <row r="145" spans="1:2" ht="12.75">
      <c r="A145" s="29">
        <f t="shared" si="4"/>
        <v>48111</v>
      </c>
      <c r="B145" s="86">
        <f>IF('CALCULADORA TIV V-1'!$F$10="Contractual",ROUND('Tabla de Amortizacion'!B146,15),IF('CALCULADORA TIV V-1'!$F$10="6% (Medio)",ROUND('Tabla de Amortizacion'!D146,15),IF('CALCULADORA TIV V-1'!$F$10="10% (Medio Alto)",ROUND('Tabla de Amortizacion'!F146,15),IF('CALCULADORA TIV V-1'!$F$10="14% (Alto)",ROUND('Tabla de Amortizacion'!H146,15),IF('CALCULADORA TIV V-1'!$F$10="20%_",ROUND('Tabla de Amortizacion'!J146,15),ROUND('Tabla de Amortizacion'!L146,15))))))</f>
        <v>0</v>
      </c>
    </row>
    <row r="146" spans="1:2" ht="12.75">
      <c r="A146" s="29">
        <f t="shared" si="4"/>
        <v>48141</v>
      </c>
      <c r="B146" s="86">
        <f>IF('CALCULADORA TIV V-1'!$F$10="Contractual",ROUND('Tabla de Amortizacion'!B147,15),IF('CALCULADORA TIV V-1'!$F$10="6% (Medio)",ROUND('Tabla de Amortizacion'!D147,15),IF('CALCULADORA TIV V-1'!$F$10="10% (Medio Alto)",ROUND('Tabla de Amortizacion'!F147,15),IF('CALCULADORA TIV V-1'!$F$10="14% (Alto)",ROUND('Tabla de Amortizacion'!H147,15),IF('CALCULADORA TIV V-1'!$F$10="20%_",ROUND('Tabla de Amortizacion'!J147,15),ROUND('Tabla de Amortizacion'!L147,15))))))</f>
        <v>0</v>
      </c>
    </row>
    <row r="147" spans="1:2" ht="12.75">
      <c r="A147" s="29">
        <f t="shared" si="4"/>
        <v>48172</v>
      </c>
      <c r="B147" s="86">
        <f>IF('CALCULADORA TIV V-1'!$F$10="Contractual",ROUND('Tabla de Amortizacion'!B148,15),IF('CALCULADORA TIV V-1'!$F$10="6% (Medio)",ROUND('Tabla de Amortizacion'!D148,15),IF('CALCULADORA TIV V-1'!$F$10="10% (Medio Alto)",ROUND('Tabla de Amortizacion'!F148,15),IF('CALCULADORA TIV V-1'!$F$10="14% (Alto)",ROUND('Tabla de Amortizacion'!H148,15),IF('CALCULADORA TIV V-1'!$F$10="20%_",ROUND('Tabla de Amortizacion'!J148,15),ROUND('Tabla de Amortizacion'!L148,15))))))</f>
        <v>0</v>
      </c>
    </row>
    <row r="148" spans="1:2" ht="12.75">
      <c r="A148" s="29">
        <f t="shared" si="4"/>
        <v>48202</v>
      </c>
      <c r="B148" s="86">
        <f>IF('CALCULADORA TIV V-1'!$F$10="Contractual",ROUND('Tabla de Amortizacion'!B149,15),IF('CALCULADORA TIV V-1'!$F$10="6% (Medio)",ROUND('Tabla de Amortizacion'!D149,15),IF('CALCULADORA TIV V-1'!$F$10="10% (Medio Alto)",ROUND('Tabla de Amortizacion'!F149,15),IF('CALCULADORA TIV V-1'!$F$10="14% (Alto)",ROUND('Tabla de Amortizacion'!H149,15),IF('CALCULADORA TIV V-1'!$F$10="20%_",ROUND('Tabla de Amortizacion'!J149,15),ROUND('Tabla de Amortizacion'!L149,15))))))</f>
        <v>0</v>
      </c>
    </row>
    <row r="149" spans="1:2" ht="12.75">
      <c r="A149" s="29">
        <f t="shared" si="4"/>
        <v>48233</v>
      </c>
      <c r="B149" s="86">
        <f>IF('CALCULADORA TIV V-1'!$F$10="Contractual",ROUND('Tabla de Amortizacion'!B150,15),IF('CALCULADORA TIV V-1'!$F$10="6% (Medio)",ROUND('Tabla de Amortizacion'!D150,15),IF('CALCULADORA TIV V-1'!$F$10="10% (Medio Alto)",ROUND('Tabla de Amortizacion'!F150,15),IF('CALCULADORA TIV V-1'!$F$10="14% (Alto)",ROUND('Tabla de Amortizacion'!H150,15),IF('CALCULADORA TIV V-1'!$F$10="20%_",ROUND('Tabla de Amortizacion'!J150,15),ROUND('Tabla de Amortizacion'!L150,15))))))</f>
        <v>0</v>
      </c>
    </row>
    <row r="150" spans="1:2" ht="12.75">
      <c r="A150" s="29">
        <f t="shared" si="4"/>
        <v>48264</v>
      </c>
      <c r="B150" s="86">
        <f>IF('CALCULADORA TIV V-1'!$F$10="Contractual",ROUND('Tabla de Amortizacion'!B151,15),IF('CALCULADORA TIV V-1'!$F$10="6% (Medio)",ROUND('Tabla de Amortizacion'!D151,15),IF('CALCULADORA TIV V-1'!$F$10="10% (Medio Alto)",ROUND('Tabla de Amortizacion'!F151,15),IF('CALCULADORA TIV V-1'!$F$10="14% (Alto)",ROUND('Tabla de Amortizacion'!H151,15),IF('CALCULADORA TIV V-1'!$F$10="20%_",ROUND('Tabla de Amortizacion'!J151,15),ROUND('Tabla de Amortizacion'!L151,15))))))</f>
        <v>0</v>
      </c>
    </row>
    <row r="151" spans="1:2" ht="12.75">
      <c r="A151" s="29">
        <f t="shared" si="4"/>
        <v>48293</v>
      </c>
      <c r="B151" s="86">
        <f>IF('CALCULADORA TIV V-1'!$F$10="Contractual",ROUND('Tabla de Amortizacion'!B152,15),IF('CALCULADORA TIV V-1'!$F$10="6% (Medio)",ROUND('Tabla de Amortizacion'!D152,15),IF('CALCULADORA TIV V-1'!$F$10="10% (Medio Alto)",ROUND('Tabla de Amortizacion'!F152,15),IF('CALCULADORA TIV V-1'!$F$10="14% (Alto)",ROUND('Tabla de Amortizacion'!H152,15),IF('CALCULADORA TIV V-1'!$F$10="20%_",ROUND('Tabla de Amortizacion'!J152,15),ROUND('Tabla de Amortizacion'!L152,15))))))</f>
        <v>0</v>
      </c>
    </row>
    <row r="152" spans="1:2" ht="12.75">
      <c r="A152" s="29">
        <f t="shared" si="4"/>
        <v>48324</v>
      </c>
      <c r="B152" s="86">
        <f>IF('CALCULADORA TIV V-1'!$F$10="Contractual",ROUND('Tabla de Amortizacion'!B153,15),IF('CALCULADORA TIV V-1'!$F$10="6% (Medio)",ROUND('Tabla de Amortizacion'!D153,15),IF('CALCULADORA TIV V-1'!$F$10="10% (Medio Alto)",ROUND('Tabla de Amortizacion'!F153,15),IF('CALCULADORA TIV V-1'!$F$10="14% (Alto)",ROUND('Tabla de Amortizacion'!H153,15),IF('CALCULADORA TIV V-1'!$F$10="20%_",ROUND('Tabla de Amortizacion'!J153,15),ROUND('Tabla de Amortizacion'!L153,15))))))</f>
        <v>0</v>
      </c>
    </row>
    <row r="153" spans="1:2" ht="12.75">
      <c r="A153" s="29">
        <f t="shared" si="4"/>
        <v>48354</v>
      </c>
      <c r="B153" s="86">
        <f>IF('CALCULADORA TIV V-1'!$F$10="Contractual",ROUND('Tabla de Amortizacion'!B154,15),IF('CALCULADORA TIV V-1'!$F$10="6% (Medio)",ROUND('Tabla de Amortizacion'!D154,15),IF('CALCULADORA TIV V-1'!$F$10="10% (Medio Alto)",ROUND('Tabla de Amortizacion'!F154,15),IF('CALCULADORA TIV V-1'!$F$10="14% (Alto)",ROUND('Tabla de Amortizacion'!H154,15),IF('CALCULADORA TIV V-1'!$F$10="20%_",ROUND('Tabla de Amortizacion'!J154,15),ROUND('Tabla de Amortizacion'!L154,15))))))</f>
        <v>0</v>
      </c>
    </row>
    <row r="154" spans="1:2" ht="12.75">
      <c r="A154" s="29">
        <f t="shared" si="4"/>
        <v>48385</v>
      </c>
      <c r="B154" s="86">
        <f>IF('CALCULADORA TIV V-1'!$F$10="Contractual",ROUND('Tabla de Amortizacion'!B155,15),IF('CALCULADORA TIV V-1'!$F$10="6% (Medio)",ROUND('Tabla de Amortizacion'!D155,15),IF('CALCULADORA TIV V-1'!$F$10="10% (Medio Alto)",ROUND('Tabla de Amortizacion'!F155,15),IF('CALCULADORA TIV V-1'!$F$10="14% (Alto)",ROUND('Tabla de Amortizacion'!H155,15),IF('CALCULADORA TIV V-1'!$F$10="20%_",ROUND('Tabla de Amortizacion'!J155,15),ROUND('Tabla de Amortizacion'!L155,15))))))</f>
        <v>0</v>
      </c>
    </row>
    <row r="155" spans="1:2" ht="12.75">
      <c r="A155" s="29">
        <f t="shared" si="4"/>
        <v>48415</v>
      </c>
      <c r="B155" s="86">
        <f>IF('CALCULADORA TIV V-1'!$F$10="Contractual",ROUND('Tabla de Amortizacion'!B156,15),IF('CALCULADORA TIV V-1'!$F$10="6% (Medio)",ROUND('Tabla de Amortizacion'!D156,15),IF('CALCULADORA TIV V-1'!$F$10="10% (Medio Alto)",ROUND('Tabla de Amortizacion'!F156,15),IF('CALCULADORA TIV V-1'!$F$10="14% (Alto)",ROUND('Tabla de Amortizacion'!H156,15),IF('CALCULADORA TIV V-1'!$F$10="20%_",ROUND('Tabla de Amortizacion'!J156,15),ROUND('Tabla de Amortizacion'!L156,15))))))</f>
        <v>0</v>
      </c>
    </row>
    <row r="156" spans="1:2" ht="12.75">
      <c r="A156" s="29">
        <f t="shared" si="4"/>
        <v>48446</v>
      </c>
      <c r="B156" s="86">
        <f>IF('CALCULADORA TIV V-1'!$F$10="Contractual",ROUND('Tabla de Amortizacion'!B157,15),IF('CALCULADORA TIV V-1'!$F$10="6% (Medio)",ROUND('Tabla de Amortizacion'!D157,15),IF('CALCULADORA TIV V-1'!$F$10="10% (Medio Alto)",ROUND('Tabla de Amortizacion'!F157,15),IF('CALCULADORA TIV V-1'!$F$10="14% (Alto)",ROUND('Tabla de Amortizacion'!H157,15),IF('CALCULADORA TIV V-1'!$F$10="20%_",ROUND('Tabla de Amortizacion'!J157,15),ROUND('Tabla de Amortizacion'!L157,15))))))</f>
        <v>0</v>
      </c>
    </row>
    <row r="157" spans="1:2" ht="12.75">
      <c r="A157" s="29">
        <f t="shared" si="4"/>
        <v>48477</v>
      </c>
      <c r="B157" s="86">
        <f>IF('CALCULADORA TIV V-1'!$F$10="Contractual",ROUND('Tabla de Amortizacion'!B158,15),IF('CALCULADORA TIV V-1'!$F$10="6% (Medio)",ROUND('Tabla de Amortizacion'!D158,15),IF('CALCULADORA TIV V-1'!$F$10="10% (Medio Alto)",ROUND('Tabla de Amortizacion'!F158,15),IF('CALCULADORA TIV V-1'!$F$10="14% (Alto)",ROUND('Tabla de Amortizacion'!H158,15),IF('CALCULADORA TIV V-1'!$F$10="20%_",ROUND('Tabla de Amortizacion'!J158,15),ROUND('Tabla de Amortizacion'!L158,15))))))</f>
        <v>0</v>
      </c>
    </row>
    <row r="158" spans="1:2" ht="12.75">
      <c r="A158" s="29">
        <f t="shared" si="4"/>
        <v>48507</v>
      </c>
      <c r="B158" s="86">
        <f>IF('CALCULADORA TIV V-1'!$F$10="Contractual",ROUND('Tabla de Amortizacion'!B159,15),IF('CALCULADORA TIV V-1'!$F$10="6% (Medio)",ROUND('Tabla de Amortizacion'!D159,15),IF('CALCULADORA TIV V-1'!$F$10="10% (Medio Alto)",ROUND('Tabla de Amortizacion'!F159,15),IF('CALCULADORA TIV V-1'!$F$10="14% (Alto)",ROUND('Tabla de Amortizacion'!H159,15),IF('CALCULADORA TIV V-1'!$F$10="20%_",ROUND('Tabla de Amortizacion'!J159,15),ROUND('Tabla de Amortizacion'!L159,15))))))</f>
        <v>0</v>
      </c>
    </row>
    <row r="159" spans="1:2" ht="12.75">
      <c r="A159" s="29">
        <f t="shared" si="4"/>
        <v>48538</v>
      </c>
      <c r="B159" s="86">
        <f>IF('CALCULADORA TIV V-1'!$F$10="Contractual",ROUND('Tabla de Amortizacion'!B160,15),IF('CALCULADORA TIV V-1'!$F$10="6% (Medio)",ROUND('Tabla de Amortizacion'!D160,15),IF('CALCULADORA TIV V-1'!$F$10="10% (Medio Alto)",ROUND('Tabla de Amortizacion'!F160,15),IF('CALCULADORA TIV V-1'!$F$10="14% (Alto)",ROUND('Tabla de Amortizacion'!H160,15),IF('CALCULADORA TIV V-1'!$F$10="20%_",ROUND('Tabla de Amortizacion'!J160,15),ROUND('Tabla de Amortizacion'!L160,15))))))</f>
        <v>0</v>
      </c>
    </row>
    <row r="160" spans="1:2" ht="12.75">
      <c r="A160" s="29">
        <f t="shared" si="4"/>
        <v>48568</v>
      </c>
      <c r="B160" s="86">
        <f>IF('CALCULADORA TIV V-1'!$F$10="Contractual",ROUND('Tabla de Amortizacion'!B161,15),IF('CALCULADORA TIV V-1'!$F$10="6% (Medio)",ROUND('Tabla de Amortizacion'!D161,15),IF('CALCULADORA TIV V-1'!$F$10="10% (Medio Alto)",ROUND('Tabla de Amortizacion'!F161,15),IF('CALCULADORA TIV V-1'!$F$10="14% (Alto)",ROUND('Tabla de Amortizacion'!H161,15),IF('CALCULADORA TIV V-1'!$F$10="20%_",ROUND('Tabla de Amortizacion'!J161,15),ROUND('Tabla de Amortizacion'!L161,15))))))</f>
        <v>0</v>
      </c>
    </row>
    <row r="161" spans="1:2" ht="12.75">
      <c r="A161" s="29">
        <f t="shared" si="4"/>
        <v>48599</v>
      </c>
      <c r="B161" s="86">
        <f>IF('CALCULADORA TIV V-1'!$F$10="Contractual",ROUND('Tabla de Amortizacion'!B162,15),IF('CALCULADORA TIV V-1'!$F$10="6% (Medio)",ROUND('Tabla de Amortizacion'!D162,15),IF('CALCULADORA TIV V-1'!$F$10="10% (Medio Alto)",ROUND('Tabla de Amortizacion'!F162,15),IF('CALCULADORA TIV V-1'!$F$10="14% (Alto)",ROUND('Tabla de Amortizacion'!H162,15),IF('CALCULADORA TIV V-1'!$F$10="20%_",ROUND('Tabla de Amortizacion'!J162,15),ROUND('Tabla de Amortizacion'!L162,15))))))</f>
        <v>0</v>
      </c>
    </row>
    <row r="162" spans="1:2" ht="12.75">
      <c r="A162" s="29">
        <f t="shared" si="4"/>
        <v>48630</v>
      </c>
      <c r="B162" s="86">
        <f>IF('CALCULADORA TIV V-1'!$F$10="Contractual",ROUND('Tabla de Amortizacion'!B163,15),IF('CALCULADORA TIV V-1'!$F$10="6% (Medio)",ROUND('Tabla de Amortizacion'!D163,15),IF('CALCULADORA TIV V-1'!$F$10="10% (Medio Alto)",ROUND('Tabla de Amortizacion'!F163,15),IF('CALCULADORA TIV V-1'!$F$10="14% (Alto)",ROUND('Tabla de Amortizacion'!H163,15),IF('CALCULADORA TIV V-1'!$F$10="20%_",ROUND('Tabla de Amortizacion'!J163,15),ROUND('Tabla de Amortizacion'!L163,15))))))</f>
        <v>0</v>
      </c>
    </row>
    <row r="163" spans="1:2" ht="12.75">
      <c r="A163" s="29">
        <f aca="true" t="shared" si="5" ref="A163:A181">_XLL.FECHA.MES(A162,1)</f>
        <v>48658</v>
      </c>
      <c r="B163" s="86">
        <f>IF('CALCULADORA TIV V-1'!$F$10="Contractual",ROUND('Tabla de Amortizacion'!B164,15),IF('CALCULADORA TIV V-1'!$F$10="6% (Medio)",ROUND('Tabla de Amortizacion'!D164,15),IF('CALCULADORA TIV V-1'!$F$10="10% (Medio Alto)",ROUND('Tabla de Amortizacion'!F164,15),IF('CALCULADORA TIV V-1'!$F$10="14% (Alto)",ROUND('Tabla de Amortizacion'!H164,15),IF('CALCULADORA TIV V-1'!$F$10="20%_",ROUND('Tabla de Amortizacion'!J164,15),ROUND('Tabla de Amortizacion'!L164,15))))))</f>
        <v>0</v>
      </c>
    </row>
    <row r="164" spans="1:2" ht="12.75">
      <c r="A164" s="29">
        <f t="shared" si="5"/>
        <v>48689</v>
      </c>
      <c r="B164" s="86">
        <f>IF('CALCULADORA TIV V-1'!$F$10="Contractual",ROUND('Tabla de Amortizacion'!B165,15),IF('CALCULADORA TIV V-1'!$F$10="6% (Medio)",ROUND('Tabla de Amortizacion'!D165,15),IF('CALCULADORA TIV V-1'!$F$10="10% (Medio Alto)",ROUND('Tabla de Amortizacion'!F165,15),IF('CALCULADORA TIV V-1'!$F$10="14% (Alto)",ROUND('Tabla de Amortizacion'!H165,15),IF('CALCULADORA TIV V-1'!$F$10="20%_",ROUND('Tabla de Amortizacion'!J165,15),ROUND('Tabla de Amortizacion'!L165,15))))))</f>
        <v>0</v>
      </c>
    </row>
    <row r="165" spans="1:2" ht="12.75">
      <c r="A165" s="29">
        <f t="shared" si="5"/>
        <v>48719</v>
      </c>
      <c r="B165" s="86">
        <f>IF('CALCULADORA TIV V-1'!$F$10="Contractual",ROUND('Tabla de Amortizacion'!B166,15),IF('CALCULADORA TIV V-1'!$F$10="6% (Medio)",ROUND('Tabla de Amortizacion'!D166,15),IF('CALCULADORA TIV V-1'!$F$10="10% (Medio Alto)",ROUND('Tabla de Amortizacion'!F166,15),IF('CALCULADORA TIV V-1'!$F$10="14% (Alto)",ROUND('Tabla de Amortizacion'!H166,15),IF('CALCULADORA TIV V-1'!$F$10="20%_",ROUND('Tabla de Amortizacion'!J166,15),ROUND('Tabla de Amortizacion'!L166,15))))))</f>
        <v>0</v>
      </c>
    </row>
    <row r="166" spans="1:2" ht="12.75">
      <c r="A166" s="29">
        <f t="shared" si="5"/>
        <v>48750</v>
      </c>
      <c r="B166" s="86">
        <f>IF('CALCULADORA TIV V-1'!$F$10="Contractual",ROUND('Tabla de Amortizacion'!B167,15),IF('CALCULADORA TIV V-1'!$F$10="6% (Medio)",ROUND('Tabla de Amortizacion'!D167,15),IF('CALCULADORA TIV V-1'!$F$10="10% (Medio Alto)",ROUND('Tabla de Amortizacion'!F167,15),IF('CALCULADORA TIV V-1'!$F$10="14% (Alto)",ROUND('Tabla de Amortizacion'!H167,15),IF('CALCULADORA TIV V-1'!$F$10="20%_",ROUND('Tabla de Amortizacion'!J167,15),ROUND('Tabla de Amortizacion'!L167,15))))))</f>
        <v>0</v>
      </c>
    </row>
    <row r="167" spans="1:2" ht="12.75">
      <c r="A167" s="29">
        <f t="shared" si="5"/>
        <v>48780</v>
      </c>
      <c r="B167" s="86">
        <f>IF('CALCULADORA TIV V-1'!$F$10="Contractual",ROUND('Tabla de Amortizacion'!B168,15),IF('CALCULADORA TIV V-1'!$F$10="6% (Medio)",ROUND('Tabla de Amortizacion'!D168,15),IF('CALCULADORA TIV V-1'!$F$10="10% (Medio Alto)",ROUND('Tabla de Amortizacion'!F168,15),IF('CALCULADORA TIV V-1'!$F$10="14% (Alto)",ROUND('Tabla de Amortizacion'!H168,15),IF('CALCULADORA TIV V-1'!$F$10="20%_",ROUND('Tabla de Amortizacion'!J168,15),ROUND('Tabla de Amortizacion'!L168,15))))))</f>
        <v>0</v>
      </c>
    </row>
    <row r="168" spans="1:2" ht="12.75">
      <c r="A168" s="29">
        <f t="shared" si="5"/>
        <v>48811</v>
      </c>
      <c r="B168" s="86">
        <f>IF('CALCULADORA TIV V-1'!$F$10="Contractual",ROUND('Tabla de Amortizacion'!B169,15),IF('CALCULADORA TIV V-1'!$F$10="6% (Medio)",ROUND('Tabla de Amortizacion'!D169,15),IF('CALCULADORA TIV V-1'!$F$10="10% (Medio Alto)",ROUND('Tabla de Amortizacion'!F169,15),IF('CALCULADORA TIV V-1'!$F$10="14% (Alto)",ROUND('Tabla de Amortizacion'!H169,15),IF('CALCULADORA TIV V-1'!$F$10="20%_",ROUND('Tabla de Amortizacion'!J169,15),ROUND('Tabla de Amortizacion'!L169,15))))))</f>
        <v>0</v>
      </c>
    </row>
    <row r="169" spans="1:2" ht="12.75">
      <c r="A169" s="29">
        <f t="shared" si="5"/>
        <v>48842</v>
      </c>
      <c r="B169" s="86">
        <f>IF('CALCULADORA TIV V-1'!$F$10="Contractual",ROUND('Tabla de Amortizacion'!B170,15),IF('CALCULADORA TIV V-1'!$F$10="6% (Medio)",ROUND('Tabla de Amortizacion'!D170,15),IF('CALCULADORA TIV V-1'!$F$10="10% (Medio Alto)",ROUND('Tabla de Amortizacion'!F170,15),IF('CALCULADORA TIV V-1'!$F$10="14% (Alto)",ROUND('Tabla de Amortizacion'!H170,15),IF('CALCULADORA TIV V-1'!$F$10="20%_",ROUND('Tabla de Amortizacion'!J170,15),ROUND('Tabla de Amortizacion'!L170,15))))))</f>
        <v>0</v>
      </c>
    </row>
    <row r="170" spans="1:2" ht="12.75">
      <c r="A170" s="29">
        <f t="shared" si="5"/>
        <v>48872</v>
      </c>
      <c r="B170" s="86">
        <f>IF('CALCULADORA TIV V-1'!$F$10="Contractual",ROUND('Tabla de Amortizacion'!B171,15),IF('CALCULADORA TIV V-1'!$F$10="6% (Medio)",ROUND('Tabla de Amortizacion'!D171,15),IF('CALCULADORA TIV V-1'!$F$10="10% (Medio Alto)",ROUND('Tabla de Amortizacion'!F171,15),IF('CALCULADORA TIV V-1'!$F$10="14% (Alto)",ROUND('Tabla de Amortizacion'!H171,15),IF('CALCULADORA TIV V-1'!$F$10="20%_",ROUND('Tabla de Amortizacion'!J171,15),ROUND('Tabla de Amortizacion'!L171,15))))))</f>
        <v>0</v>
      </c>
    </row>
    <row r="171" spans="1:2" ht="12.75">
      <c r="A171" s="29">
        <f t="shared" si="5"/>
        <v>48903</v>
      </c>
      <c r="B171" s="86">
        <f>IF('CALCULADORA TIV V-1'!$F$10="Contractual",ROUND('Tabla de Amortizacion'!B172,15),IF('CALCULADORA TIV V-1'!$F$10="6% (Medio)",ROUND('Tabla de Amortizacion'!D172,15),IF('CALCULADORA TIV V-1'!$F$10="10% (Medio Alto)",ROUND('Tabla de Amortizacion'!F172,15),IF('CALCULADORA TIV V-1'!$F$10="14% (Alto)",ROUND('Tabla de Amortizacion'!H172,15),IF('CALCULADORA TIV V-1'!$F$10="20%_",ROUND('Tabla de Amortizacion'!J172,15),ROUND('Tabla de Amortizacion'!L172,15))))))</f>
        <v>0</v>
      </c>
    </row>
    <row r="172" spans="1:2" ht="12.75">
      <c r="A172" s="29">
        <f t="shared" si="5"/>
        <v>48933</v>
      </c>
      <c r="B172" s="86">
        <f>IF('CALCULADORA TIV V-1'!$F$10="Contractual",ROUND('Tabla de Amortizacion'!B173,15),IF('CALCULADORA TIV V-1'!$F$10="6% (Medio)",ROUND('Tabla de Amortizacion'!D173,15),IF('CALCULADORA TIV V-1'!$F$10="10% (Medio Alto)",ROUND('Tabla de Amortizacion'!F173,15),IF('CALCULADORA TIV V-1'!$F$10="14% (Alto)",ROUND('Tabla de Amortizacion'!H173,15),IF('CALCULADORA TIV V-1'!$F$10="20%_",ROUND('Tabla de Amortizacion'!J173,15),ROUND('Tabla de Amortizacion'!L173,15))))))</f>
        <v>0</v>
      </c>
    </row>
    <row r="173" spans="1:2" ht="12.75">
      <c r="A173" s="29">
        <f t="shared" si="5"/>
        <v>48964</v>
      </c>
      <c r="B173" s="86">
        <f>IF('CALCULADORA TIV V-1'!$F$10="Contractual",ROUND('Tabla de Amortizacion'!B174,15),IF('CALCULADORA TIV V-1'!$F$10="6% (Medio)",ROUND('Tabla de Amortizacion'!D174,15),IF('CALCULADORA TIV V-1'!$F$10="10% (Medio Alto)",ROUND('Tabla de Amortizacion'!F174,15),IF('CALCULADORA TIV V-1'!$F$10="14% (Alto)",ROUND('Tabla de Amortizacion'!H174,15),IF('CALCULADORA TIV V-1'!$F$10="20%_",ROUND('Tabla de Amortizacion'!J174,15),ROUND('Tabla de Amortizacion'!L174,15))))))</f>
        <v>0</v>
      </c>
    </row>
    <row r="174" spans="1:2" ht="12.75">
      <c r="A174" s="29">
        <f t="shared" si="5"/>
        <v>48995</v>
      </c>
      <c r="B174" s="86">
        <f>IF('CALCULADORA TIV V-1'!$F$10="Contractual",ROUND('Tabla de Amortizacion'!B175,15),IF('CALCULADORA TIV V-1'!$F$10="6% (Medio)",ROUND('Tabla de Amortizacion'!D175,15),IF('CALCULADORA TIV V-1'!$F$10="10% (Medio Alto)",ROUND('Tabla de Amortizacion'!F175,15),IF('CALCULADORA TIV V-1'!$F$10="14% (Alto)",ROUND('Tabla de Amortizacion'!H175,15),IF('CALCULADORA TIV V-1'!$F$10="20%_",ROUND('Tabla de Amortizacion'!J175,15),ROUND('Tabla de Amortizacion'!L175,15))))))</f>
        <v>0</v>
      </c>
    </row>
    <row r="175" spans="1:2" ht="12.75">
      <c r="A175" s="29">
        <f t="shared" si="5"/>
        <v>49023</v>
      </c>
      <c r="B175" s="86">
        <f>IF('CALCULADORA TIV V-1'!$F$10="Contractual",ROUND('Tabla de Amortizacion'!B176,15),IF('CALCULADORA TIV V-1'!$F$10="6% (Medio)",ROUND('Tabla de Amortizacion'!D176,15),IF('CALCULADORA TIV V-1'!$F$10="10% (Medio Alto)",ROUND('Tabla de Amortizacion'!F176,15),IF('CALCULADORA TIV V-1'!$F$10="14% (Alto)",ROUND('Tabla de Amortizacion'!H176,15),IF('CALCULADORA TIV V-1'!$F$10="20%_",ROUND('Tabla de Amortizacion'!J176,15),ROUND('Tabla de Amortizacion'!L176,15))))))</f>
        <v>0</v>
      </c>
    </row>
    <row r="176" spans="1:2" ht="12.75">
      <c r="A176" s="29">
        <f t="shared" si="5"/>
        <v>49054</v>
      </c>
      <c r="B176" s="86">
        <f>IF('CALCULADORA TIV V-1'!$F$10="Contractual",ROUND('Tabla de Amortizacion'!B177,15),IF('CALCULADORA TIV V-1'!$F$10="6% (Medio)",ROUND('Tabla de Amortizacion'!D177,15),IF('CALCULADORA TIV V-1'!$F$10="10% (Medio Alto)",ROUND('Tabla de Amortizacion'!F177,15),IF('CALCULADORA TIV V-1'!$F$10="14% (Alto)",ROUND('Tabla de Amortizacion'!H177,15),IF('CALCULADORA TIV V-1'!$F$10="20%_",ROUND('Tabla de Amortizacion'!J177,15),ROUND('Tabla de Amortizacion'!L177,15))))))</f>
        <v>0</v>
      </c>
    </row>
    <row r="177" spans="1:2" ht="12.75">
      <c r="A177" s="29">
        <f t="shared" si="5"/>
        <v>49084</v>
      </c>
      <c r="B177" s="86">
        <f>IF('CALCULADORA TIV V-1'!$F$10="Contractual",ROUND('Tabla de Amortizacion'!B178,15),IF('CALCULADORA TIV V-1'!$F$10="6% (Medio)",ROUND('Tabla de Amortizacion'!D178,15),IF('CALCULADORA TIV V-1'!$F$10="10% (Medio Alto)",ROUND('Tabla de Amortizacion'!F178,15),IF('CALCULADORA TIV V-1'!$F$10="14% (Alto)",ROUND('Tabla de Amortizacion'!H178,15),IF('CALCULADORA TIV V-1'!$F$10="20%_",ROUND('Tabla de Amortizacion'!J178,15),ROUND('Tabla de Amortizacion'!L178,15))))))</f>
        <v>0</v>
      </c>
    </row>
    <row r="178" spans="1:2" ht="12.75">
      <c r="A178" s="29">
        <f t="shared" si="5"/>
        <v>49115</v>
      </c>
      <c r="B178" s="86">
        <f>IF('CALCULADORA TIV V-1'!$F$10="Contractual",ROUND('Tabla de Amortizacion'!B179,15),IF('CALCULADORA TIV V-1'!$F$10="6% (Medio)",ROUND('Tabla de Amortizacion'!D179,15),IF('CALCULADORA TIV V-1'!$F$10="10% (Medio Alto)",ROUND('Tabla de Amortizacion'!F179,15),IF('CALCULADORA TIV V-1'!$F$10="14% (Alto)",ROUND('Tabla de Amortizacion'!H179,15),IF('CALCULADORA TIV V-1'!$F$10="20%_",ROUND('Tabla de Amortizacion'!J179,15),ROUND('Tabla de Amortizacion'!L179,15))))))</f>
        <v>0</v>
      </c>
    </row>
    <row r="179" spans="1:2" ht="12.75">
      <c r="A179" s="29">
        <f t="shared" si="5"/>
        <v>49145</v>
      </c>
      <c r="B179" s="86">
        <f>IF('CALCULADORA TIV V-1'!$F$10="Contractual",ROUND('Tabla de Amortizacion'!B180,15),IF('CALCULADORA TIV V-1'!$F$10="6% (Medio)",ROUND('Tabla de Amortizacion'!D180,15),IF('CALCULADORA TIV V-1'!$F$10="10% (Medio Alto)",ROUND('Tabla de Amortizacion'!F180,15),IF('CALCULADORA TIV V-1'!$F$10="14% (Alto)",ROUND('Tabla de Amortizacion'!H180,15),IF('CALCULADORA TIV V-1'!$F$10="20%_",ROUND('Tabla de Amortizacion'!J180,15),ROUND('Tabla de Amortizacion'!L180,15))))))</f>
        <v>0</v>
      </c>
    </row>
    <row r="180" spans="1:2" ht="12.75">
      <c r="A180" s="29">
        <f t="shared" si="5"/>
        <v>49176</v>
      </c>
      <c r="B180" s="86">
        <f>IF('CALCULADORA TIV V-1'!$F$10="Contractual",ROUND('Tabla de Amortizacion'!B181,15),IF('CALCULADORA TIV V-1'!$F$10="6% (Medio)",ROUND('Tabla de Amortizacion'!D181,15),IF('CALCULADORA TIV V-1'!$F$10="10% (Medio Alto)",ROUND('Tabla de Amortizacion'!F181,15),IF('CALCULADORA TIV V-1'!$F$10="14% (Alto)",ROUND('Tabla de Amortizacion'!H181,15),IF('CALCULADORA TIV V-1'!$F$10="20%_",ROUND('Tabla de Amortizacion'!J181,15),ROUND('Tabla de Amortizacion'!L181,15))))))</f>
        <v>0</v>
      </c>
    </row>
    <row r="181" spans="1:2" ht="13.5" thickBot="1">
      <c r="A181" s="30">
        <f t="shared" si="5"/>
        <v>49207</v>
      </c>
      <c r="B181" s="86">
        <f>IF('CALCULADORA TIV V-1'!$F$10="Contractual",ROUND('Tabla de Amortizacion'!B182,15),IF('CALCULADORA TIV V-1'!$F$10="6% (Medio)",ROUND('Tabla de Amortizacion'!D182,15),IF('CALCULADORA TIV V-1'!$F$10="10% (Medio Alto)",ROUND('Tabla de Amortizacion'!F182,15),IF('CALCULADORA TIV V-1'!$F$10="14% (Alto)",ROUND('Tabla de Amortizacion'!H182,15),IF('CALCULADORA TIV V-1'!$F$10="20%_",ROUND('Tabla de Amortizacion'!J182,15),ROUND('Tabla de Amortizacion'!L182,15))))))</f>
        <v>0</v>
      </c>
    </row>
  </sheetData>
  <sheetProtection password="C5F9" sheet="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Sebastian Novoa</cp:lastModifiedBy>
  <cp:lastPrinted>2008-01-08T21:41:33Z</cp:lastPrinted>
  <dcterms:created xsi:type="dcterms:W3CDTF">2002-04-18T20:31:17Z</dcterms:created>
  <dcterms:modified xsi:type="dcterms:W3CDTF">2023-01-19T19:51:46Z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